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280" windowHeight="11880" tabRatio="777"/>
  </bookViews>
  <sheets>
    <sheet name="TABLE 1 - 2018-19 Provisional" sheetId="6" r:id="rId1"/>
    <sheet name="TABLE 2 - 2019-20 Illustrative" sheetId="9" r:id="rId2"/>
    <sheet name="TABLE 3 - Target Illustrative" sheetId="8" r:id="rId3"/>
    <sheet name="TABLE 4 - October 2016 Dataset" sheetId="7" r:id="rId4"/>
    <sheet name="TABLE 5 - DfE Published Figures" sheetId="1" state="hidden" r:id="rId5"/>
    <sheet name="TABLE x - Formula Factors " sheetId="5" state="hidden" r:id="rId6"/>
  </sheets>
  <externalReferences>
    <externalReference r:id="rId7"/>
  </externalReferences>
  <definedNames>
    <definedName name="Calculations" localSheetId="0">[1]Calculations!$A$7:$AM$76</definedName>
    <definedName name="Calculations" localSheetId="1">[1]Calculations!$A$7:$AM$76</definedName>
    <definedName name="Calculations" localSheetId="2">[1]Calculations!$A$7:$AM$76</definedName>
    <definedName name="Calculations" localSheetId="3">[1]Calculations!$A$7:$AM$76</definedName>
    <definedName name="DeDelegations">'[1]De-Delegations'!$A$7:$AG$76</definedName>
    <definedName name="FloorsCeilings" localSheetId="0">'[1]Floors &amp; Ceilings'!$A$7:$BD$76</definedName>
    <definedName name="FloorsCeilings" localSheetId="1">'[1]Floors &amp; Ceilings'!$A$7:$BD$76</definedName>
    <definedName name="FloorsCeilings" localSheetId="2">'[1]Floors &amp; Ceilings'!$A$7:$BD$76</definedName>
    <definedName name="FloorsCeilings" localSheetId="3">'[1]Floors &amp; Ceilings'!$A$7:$BD$76</definedName>
    <definedName name="_xlnm.Print_Area" localSheetId="0">'TABLE 1 - 2018-19 Provisional'!$B$2:$CC$80</definedName>
    <definedName name="_xlnm.Print_Area" localSheetId="2">'TABLE 3 - Target Illustrative'!$B$2:$BM$80</definedName>
    <definedName name="_xlnm.Print_Area" localSheetId="3">'TABLE 4 - October 2016 Dataset'!$B$2:$AA$78</definedName>
    <definedName name="_xlnm.Print_Area" localSheetId="4">'TABLE 5 - DfE Published Figures'!$B$3:$X$73</definedName>
    <definedName name="_xlnm.Print_Area" localSheetId="5">'TABLE x - Formula Factors '!$B$2:$F$63</definedName>
    <definedName name="_xlnm.Print_Titles" localSheetId="0">'TABLE 1 - 2018-19 Provisional'!$B:$E</definedName>
    <definedName name="_xlnm.Print_Titles" localSheetId="1">'TABLE 2 - 2019-20 Illustrative'!$B:$E</definedName>
    <definedName name="_xlnm.Print_Titles" localSheetId="2">'TABLE 3 - Target Illustrative'!$B:$E</definedName>
    <definedName name="_xlnm.Print_Titles" localSheetId="3">'TABLE 4 - October 2016 Dataset'!$B:$E</definedName>
    <definedName name="SchoolData" localSheetId="0">'[1]School Data'!$A$7:$IV$76</definedName>
    <definedName name="SchoolData" localSheetId="1">'[1]School Data'!$A$7:$IV$76</definedName>
    <definedName name="SchoolData" localSheetId="2">'[1]School Data'!$A$7:$IV$76</definedName>
    <definedName name="SchoolData" localSheetId="3">'[1]School Data'!$A$7:$IV$76</definedName>
  </definedNames>
  <calcPr calcId="125725"/>
  <fileRecoveryPr autoRecover="0"/>
</workbook>
</file>

<file path=xl/calcChain.xml><?xml version="1.0" encoding="utf-8"?>
<calcChain xmlns="http://schemas.openxmlformats.org/spreadsheetml/2006/main">
  <c r="AJ70" i="8"/>
  <c r="AJ69"/>
  <c r="AJ68"/>
  <c r="AJ67"/>
  <c r="AJ66"/>
  <c r="AJ65"/>
  <c r="AJ64"/>
  <c r="AJ63"/>
  <c r="AJ62"/>
  <c r="AC63"/>
  <c r="AD63"/>
  <c r="AE63"/>
  <c r="AF63"/>
  <c r="AC64"/>
  <c r="AD64"/>
  <c r="AE64"/>
  <c r="AF64"/>
  <c r="AC65"/>
  <c r="AD65"/>
  <c r="AE65"/>
  <c r="AF65"/>
  <c r="AC66"/>
  <c r="AD66"/>
  <c r="AE66"/>
  <c r="AF66"/>
  <c r="AC67"/>
  <c r="AD67"/>
  <c r="AE67"/>
  <c r="AF67"/>
  <c r="AC68"/>
  <c r="AD68"/>
  <c r="AE68"/>
  <c r="AF68"/>
  <c r="AC69"/>
  <c r="AD69"/>
  <c r="AE69"/>
  <c r="AF69"/>
  <c r="AC70"/>
  <c r="AD70"/>
  <c r="AE70"/>
  <c r="AF70"/>
  <c r="AF62"/>
  <c r="AE62"/>
  <c r="AD62"/>
  <c r="AC62"/>
  <c r="T63"/>
  <c r="U63"/>
  <c r="V63"/>
  <c r="W63"/>
  <c r="X63"/>
  <c r="Y63"/>
  <c r="Z63"/>
  <c r="AA63"/>
  <c r="T64"/>
  <c r="U64"/>
  <c r="V64"/>
  <c r="W64"/>
  <c r="X64"/>
  <c r="Y64"/>
  <c r="Z64"/>
  <c r="AA64"/>
  <c r="T65"/>
  <c r="U65"/>
  <c r="V65"/>
  <c r="W65"/>
  <c r="X65"/>
  <c r="Y65"/>
  <c r="Z65"/>
  <c r="AA65"/>
  <c r="T66"/>
  <c r="U66"/>
  <c r="V66"/>
  <c r="W66"/>
  <c r="X66"/>
  <c r="Y66"/>
  <c r="Z66"/>
  <c r="AA66"/>
  <c r="T67"/>
  <c r="U67"/>
  <c r="V67"/>
  <c r="W67"/>
  <c r="X67"/>
  <c r="Y67"/>
  <c r="Z67"/>
  <c r="AA67"/>
  <c r="T68"/>
  <c r="U68"/>
  <c r="V68"/>
  <c r="W68"/>
  <c r="X68"/>
  <c r="Y68"/>
  <c r="Z68"/>
  <c r="AA68"/>
  <c r="T69"/>
  <c r="U69"/>
  <c r="V69"/>
  <c r="W69"/>
  <c r="X69"/>
  <c r="Y69"/>
  <c r="Z69"/>
  <c r="AA69"/>
  <c r="T70"/>
  <c r="U70"/>
  <c r="V70"/>
  <c r="W70"/>
  <c r="X70"/>
  <c r="Y70"/>
  <c r="Z70"/>
  <c r="AA70"/>
  <c r="AA62"/>
  <c r="Z62"/>
  <c r="Y62"/>
  <c r="X62"/>
  <c r="W62"/>
  <c r="V62"/>
  <c r="U62"/>
  <c r="T62"/>
  <c r="Q63"/>
  <c r="R63"/>
  <c r="Q64"/>
  <c r="R64"/>
  <c r="Q65"/>
  <c r="R65"/>
  <c r="Q66"/>
  <c r="R66"/>
  <c r="Q67"/>
  <c r="R67"/>
  <c r="Q68"/>
  <c r="R68"/>
  <c r="Q69"/>
  <c r="R69"/>
  <c r="Q70"/>
  <c r="R70"/>
  <c r="R62"/>
  <c r="Q62"/>
  <c r="AI70"/>
  <c r="AI69"/>
  <c r="AI68"/>
  <c r="AI67"/>
  <c r="AI66"/>
  <c r="AI65"/>
  <c r="AI64"/>
  <c r="AI63"/>
  <c r="AI62"/>
  <c r="AI58"/>
  <c r="AI57"/>
  <c r="AI56"/>
  <c r="AI55"/>
  <c r="AI54"/>
  <c r="AI53"/>
  <c r="AI52"/>
  <c r="AI51"/>
  <c r="AI50"/>
  <c r="AI48"/>
  <c r="AI47"/>
  <c r="AI46"/>
  <c r="AI44"/>
  <c r="AI43"/>
  <c r="AI42"/>
  <c r="AI41"/>
  <c r="AI40"/>
  <c r="AI39"/>
  <c r="AI38"/>
  <c r="AI37"/>
  <c r="AI36"/>
  <c r="AI35"/>
  <c r="AI34"/>
  <c r="AI33"/>
  <c r="AI32"/>
  <c r="AI31"/>
  <c r="AI30"/>
  <c r="AI29"/>
  <c r="AI28"/>
  <c r="AI26"/>
  <c r="AI25"/>
  <c r="AI24"/>
  <c r="AI23"/>
  <c r="AI22"/>
  <c r="AI21"/>
  <c r="AI20"/>
  <c r="AI19"/>
  <c r="AI18"/>
  <c r="AI17"/>
  <c r="AI16"/>
  <c r="AI15"/>
  <c r="AI14"/>
  <c r="AI13"/>
  <c r="AI12"/>
  <c r="AI11"/>
  <c r="AI10"/>
  <c r="AI9"/>
  <c r="AI77"/>
  <c r="AI76"/>
  <c r="AJ70" i="9"/>
  <c r="AI70"/>
  <c r="AH70"/>
  <c r="AF70"/>
  <c r="AE70"/>
  <c r="AD70"/>
  <c r="AC70"/>
  <c r="AA70"/>
  <c r="Z70"/>
  <c r="Y70"/>
  <c r="X70"/>
  <c r="W70"/>
  <c r="V70"/>
  <c r="U70"/>
  <c r="T70"/>
  <c r="R70"/>
  <c r="Q70"/>
  <c r="AJ69"/>
  <c r="AI69"/>
  <c r="AH69"/>
  <c r="AF69"/>
  <c r="AE69"/>
  <c r="AD69"/>
  <c r="AC69"/>
  <c r="AA69"/>
  <c r="Z69"/>
  <c r="Y69"/>
  <c r="X69"/>
  <c r="W69"/>
  <c r="V69"/>
  <c r="U69"/>
  <c r="T69"/>
  <c r="R69"/>
  <c r="S69" s="1"/>
  <c r="Q69"/>
  <c r="AJ68"/>
  <c r="AI68"/>
  <c r="AH68"/>
  <c r="AF68"/>
  <c r="AE68"/>
  <c r="AD68"/>
  <c r="AC68"/>
  <c r="AA68"/>
  <c r="Z68"/>
  <c r="Y68"/>
  <c r="X68"/>
  <c r="W68"/>
  <c r="V68"/>
  <c r="U68"/>
  <c r="T68"/>
  <c r="R68"/>
  <c r="Q68"/>
  <c r="AJ67"/>
  <c r="AI67"/>
  <c r="AH67"/>
  <c r="AF67"/>
  <c r="AE67"/>
  <c r="AD67"/>
  <c r="AC67"/>
  <c r="AA67"/>
  <c r="Z67"/>
  <c r="Y67"/>
  <c r="X67"/>
  <c r="W67"/>
  <c r="V67"/>
  <c r="U67"/>
  <c r="T67"/>
  <c r="R67"/>
  <c r="Q67"/>
  <c r="AJ66"/>
  <c r="AI66"/>
  <c r="AH66"/>
  <c r="AF66"/>
  <c r="AE66"/>
  <c r="AD66"/>
  <c r="AC66"/>
  <c r="AA66"/>
  <c r="Z66"/>
  <c r="Y66"/>
  <c r="X66"/>
  <c r="W66"/>
  <c r="V66"/>
  <c r="U66"/>
  <c r="T66"/>
  <c r="R66"/>
  <c r="Q66"/>
  <c r="AJ65"/>
  <c r="AI65"/>
  <c r="AH65"/>
  <c r="AF65"/>
  <c r="AE65"/>
  <c r="AD65"/>
  <c r="AC65"/>
  <c r="AA65"/>
  <c r="Z65"/>
  <c r="Y65"/>
  <c r="X65"/>
  <c r="W65"/>
  <c r="V65"/>
  <c r="U65"/>
  <c r="T65"/>
  <c r="R65"/>
  <c r="S65" s="1"/>
  <c r="Q65"/>
  <c r="AJ64"/>
  <c r="AI64"/>
  <c r="AH64"/>
  <c r="AF64"/>
  <c r="AE64"/>
  <c r="AD64"/>
  <c r="AC64"/>
  <c r="AA64"/>
  <c r="Z64"/>
  <c r="Y64"/>
  <c r="X64"/>
  <c r="W64"/>
  <c r="V64"/>
  <c r="U64"/>
  <c r="T64"/>
  <c r="R64"/>
  <c r="Q64"/>
  <c r="AJ63"/>
  <c r="AI63"/>
  <c r="AH63"/>
  <c r="AF63"/>
  <c r="AE63"/>
  <c r="AD63"/>
  <c r="AC63"/>
  <c r="AA63"/>
  <c r="Z63"/>
  <c r="Y63"/>
  <c r="X63"/>
  <c r="W63"/>
  <c r="V63"/>
  <c r="U63"/>
  <c r="T63"/>
  <c r="R63"/>
  <c r="Q63"/>
  <c r="AJ62"/>
  <c r="AF62"/>
  <c r="AE62"/>
  <c r="AD62"/>
  <c r="AC62"/>
  <c r="AA62"/>
  <c r="Z62"/>
  <c r="Y62"/>
  <c r="X62"/>
  <c r="W62"/>
  <c r="V62"/>
  <c r="U62"/>
  <c r="T62"/>
  <c r="R62"/>
  <c r="Q62"/>
  <c r="AI62"/>
  <c r="AI58"/>
  <c r="AI57"/>
  <c r="AI56"/>
  <c r="AI55"/>
  <c r="AI54"/>
  <c r="AI53"/>
  <c r="AI52"/>
  <c r="AI51"/>
  <c r="AI50"/>
  <c r="AI48"/>
  <c r="AI47"/>
  <c r="AI46"/>
  <c r="AI44"/>
  <c r="AI43"/>
  <c r="AI42"/>
  <c r="AI41"/>
  <c r="AI40"/>
  <c r="AI39"/>
  <c r="AI38"/>
  <c r="AI37"/>
  <c r="AI36"/>
  <c r="AI35"/>
  <c r="AI34"/>
  <c r="AI33"/>
  <c r="AI32"/>
  <c r="AI31"/>
  <c r="AI30"/>
  <c r="AI29"/>
  <c r="AI28"/>
  <c r="AI26"/>
  <c r="AI25"/>
  <c r="AI24"/>
  <c r="AI23"/>
  <c r="AI22"/>
  <c r="AI21"/>
  <c r="AI20"/>
  <c r="AI19"/>
  <c r="AI18"/>
  <c r="AI17"/>
  <c r="AI16"/>
  <c r="AI15"/>
  <c r="AI14"/>
  <c r="AI13"/>
  <c r="AI12"/>
  <c r="AI11"/>
  <c r="AI10"/>
  <c r="AI9"/>
  <c r="AI70" i="6"/>
  <c r="AI69"/>
  <c r="AI68"/>
  <c r="AI67"/>
  <c r="AI66"/>
  <c r="AI65"/>
  <c r="AI64"/>
  <c r="AI63"/>
  <c r="AI62"/>
  <c r="AI58"/>
  <c r="AI57"/>
  <c r="AI56"/>
  <c r="AI55"/>
  <c r="AI54"/>
  <c r="AI53"/>
  <c r="AI52"/>
  <c r="AI51"/>
  <c r="AI50"/>
  <c r="AI48"/>
  <c r="AI47"/>
  <c r="AI46"/>
  <c r="AI44"/>
  <c r="AI43"/>
  <c r="AI42"/>
  <c r="AI41"/>
  <c r="AI40"/>
  <c r="AI39"/>
  <c r="AI38"/>
  <c r="AI37"/>
  <c r="AI36"/>
  <c r="AI35"/>
  <c r="AI34"/>
  <c r="AI33"/>
  <c r="AI32"/>
  <c r="AI31"/>
  <c r="AI30"/>
  <c r="AI29"/>
  <c r="AI28"/>
  <c r="AI26"/>
  <c r="AI25"/>
  <c r="AI24"/>
  <c r="AI23"/>
  <c r="AI22"/>
  <c r="AI21"/>
  <c r="AI20"/>
  <c r="AI19"/>
  <c r="AI18"/>
  <c r="AI17"/>
  <c r="AI16"/>
  <c r="AI15"/>
  <c r="AI14"/>
  <c r="AI13"/>
  <c r="AI12"/>
  <c r="AI11"/>
  <c r="AI10"/>
  <c r="AI9"/>
  <c r="BR78" i="9"/>
  <c r="BR76"/>
  <c r="AI77"/>
  <c r="AI76"/>
  <c r="AI77" i="6"/>
  <c r="AI76"/>
  <c r="AI49" s="1"/>
  <c r="S67" i="9" l="1"/>
  <c r="S70"/>
  <c r="S68"/>
  <c r="AI45"/>
  <c r="AI27" i="6"/>
  <c r="AI45"/>
  <c r="S64" i="9"/>
  <c r="AI27" i="8"/>
  <c r="S63" i="9"/>
  <c r="AI49" i="8"/>
  <c r="AI45"/>
  <c r="AI27" i="9"/>
  <c r="AB65"/>
  <c r="S66"/>
  <c r="AI49"/>
  <c r="AB64"/>
  <c r="AB70"/>
  <c r="AB68"/>
  <c r="AB69"/>
  <c r="AB63"/>
  <c r="AB67"/>
  <c r="AB66"/>
  <c r="AE58" i="8" l="1"/>
  <c r="AE57"/>
  <c r="AE56"/>
  <c r="AE55"/>
  <c r="AE54"/>
  <c r="AE53"/>
  <c r="AE52"/>
  <c r="AE51"/>
  <c r="AE50"/>
  <c r="AE49"/>
  <c r="AE48"/>
  <c r="AE47"/>
  <c r="AE46"/>
  <c r="AE45"/>
  <c r="AE44"/>
  <c r="AE43"/>
  <c r="AE42"/>
  <c r="AE41"/>
  <c r="AE40"/>
  <c r="AE39"/>
  <c r="AE38"/>
  <c r="AE37"/>
  <c r="AE36"/>
  <c r="AE35"/>
  <c r="AE34"/>
  <c r="AE33"/>
  <c r="AE32"/>
  <c r="AE31"/>
  <c r="AE30"/>
  <c r="AE29"/>
  <c r="AE28"/>
  <c r="AE27"/>
  <c r="AE26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58" i="9"/>
  <c r="AE57"/>
  <c r="AE56"/>
  <c r="AE55"/>
  <c r="AE54"/>
  <c r="AE53"/>
  <c r="AE52"/>
  <c r="AE51"/>
  <c r="AE50"/>
  <c r="AE49"/>
  <c r="AE48"/>
  <c r="AE47"/>
  <c r="AE46"/>
  <c r="AE45"/>
  <c r="AE44"/>
  <c r="AE43"/>
  <c r="AE42"/>
  <c r="AE41"/>
  <c r="AE40"/>
  <c r="AE39"/>
  <c r="AE38"/>
  <c r="AE37"/>
  <c r="AE36"/>
  <c r="AE35"/>
  <c r="AE34"/>
  <c r="AE33"/>
  <c r="AE32"/>
  <c r="AE31"/>
  <c r="AE30"/>
  <c r="AE29"/>
  <c r="AE28"/>
  <c r="AE27"/>
  <c r="AE26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63" i="6"/>
  <c r="AE64"/>
  <c r="AE65"/>
  <c r="AE66"/>
  <c r="AE67"/>
  <c r="AE68"/>
  <c r="AE69"/>
  <c r="AE70"/>
  <c r="AE62"/>
  <c r="AE58"/>
  <c r="AE57"/>
  <c r="AE56"/>
  <c r="AE55"/>
  <c r="AE54"/>
  <c r="AE53"/>
  <c r="AE52"/>
  <c r="AE51"/>
  <c r="AE50"/>
  <c r="AE49"/>
  <c r="AE48"/>
  <c r="AE47"/>
  <c r="AE46"/>
  <c r="AE45"/>
  <c r="AE44"/>
  <c r="AE43"/>
  <c r="AE42"/>
  <c r="AE41"/>
  <c r="AE40"/>
  <c r="AE39"/>
  <c r="AE38"/>
  <c r="AE37"/>
  <c r="AE36"/>
  <c r="AE35"/>
  <c r="AE34"/>
  <c r="AE33"/>
  <c r="AE32"/>
  <c r="AE31"/>
  <c r="AE30"/>
  <c r="AE29"/>
  <c r="AE28"/>
  <c r="AE27"/>
  <c r="AE26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S72" i="7"/>
  <c r="S60"/>
  <c r="AE60" i="8" l="1"/>
  <c r="AE60" i="9"/>
  <c r="S74" i="7"/>
  <c r="W70"/>
  <c r="W69"/>
  <c r="W68"/>
  <c r="W67"/>
  <c r="W66"/>
  <c r="W65"/>
  <c r="W64"/>
  <c r="W63"/>
  <c r="W62"/>
  <c r="W58"/>
  <c r="W57"/>
  <c r="W56"/>
  <c r="W55"/>
  <c r="W54"/>
  <c r="W53"/>
  <c r="W52"/>
  <c r="W51"/>
  <c r="W50"/>
  <c r="W49"/>
  <c r="W48"/>
  <c r="W47"/>
  <c r="W46"/>
  <c r="W45"/>
  <c r="W44"/>
  <c r="W43"/>
  <c r="W42"/>
  <c r="W4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60" l="1"/>
  <c r="W74" s="1"/>
  <c r="W72"/>
  <c r="T72" l="1"/>
  <c r="T60"/>
  <c r="T74" s="1"/>
  <c r="U70"/>
  <c r="X70" s="1"/>
  <c r="AG70" i="9" s="1"/>
  <c r="AK70" s="1"/>
  <c r="U69" i="7"/>
  <c r="X69" s="1"/>
  <c r="AG69" i="9" s="1"/>
  <c r="AK69" s="1"/>
  <c r="U68" i="7"/>
  <c r="X68" s="1"/>
  <c r="AG68" i="9" s="1"/>
  <c r="AK68" s="1"/>
  <c r="U67" i="7"/>
  <c r="X67" s="1"/>
  <c r="AG67" i="9" s="1"/>
  <c r="AK67" s="1"/>
  <c r="U66" i="7"/>
  <c r="X66" s="1"/>
  <c r="AG66" i="9" s="1"/>
  <c r="AK66" s="1"/>
  <c r="U65" i="7"/>
  <c r="X65" s="1"/>
  <c r="AG65" i="9" s="1"/>
  <c r="AK65" s="1"/>
  <c r="U64" i="7"/>
  <c r="X64" s="1"/>
  <c r="AG64" i="9" s="1"/>
  <c r="AK64" s="1"/>
  <c r="U63" i="7"/>
  <c r="X63" s="1"/>
  <c r="AG63" i="9" s="1"/>
  <c r="AK63" s="1"/>
  <c r="U62" i="7"/>
  <c r="X62" s="1"/>
  <c r="U10"/>
  <c r="X10" s="1"/>
  <c r="U11"/>
  <c r="X11" s="1"/>
  <c r="U12"/>
  <c r="X12" s="1"/>
  <c r="U13"/>
  <c r="X13" s="1"/>
  <c r="U14"/>
  <c r="X14" s="1"/>
  <c r="U15"/>
  <c r="X15" s="1"/>
  <c r="U16"/>
  <c r="X16" s="1"/>
  <c r="U17"/>
  <c r="X17" s="1"/>
  <c r="U18"/>
  <c r="X18" s="1"/>
  <c r="U19"/>
  <c r="X19" s="1"/>
  <c r="U20"/>
  <c r="X20" s="1"/>
  <c r="U21"/>
  <c r="X21" s="1"/>
  <c r="U22"/>
  <c r="X22" s="1"/>
  <c r="U23"/>
  <c r="X23" s="1"/>
  <c r="U24"/>
  <c r="X24" s="1"/>
  <c r="U25"/>
  <c r="X25" s="1"/>
  <c r="U26"/>
  <c r="X26" s="1"/>
  <c r="U27"/>
  <c r="X27" s="1"/>
  <c r="U28"/>
  <c r="X28" s="1"/>
  <c r="U29"/>
  <c r="X29" s="1"/>
  <c r="U30"/>
  <c r="X30" s="1"/>
  <c r="U31"/>
  <c r="X31" s="1"/>
  <c r="U32"/>
  <c r="X32" s="1"/>
  <c r="U33"/>
  <c r="X33" s="1"/>
  <c r="U34"/>
  <c r="X34" s="1"/>
  <c r="U35"/>
  <c r="X35" s="1"/>
  <c r="U36"/>
  <c r="X36" s="1"/>
  <c r="U37"/>
  <c r="X37" s="1"/>
  <c r="U38"/>
  <c r="X38" s="1"/>
  <c r="U39"/>
  <c r="X39" s="1"/>
  <c r="U40"/>
  <c r="X40" s="1"/>
  <c r="U41"/>
  <c r="X41" s="1"/>
  <c r="U42"/>
  <c r="X42" s="1"/>
  <c r="U43"/>
  <c r="X43" s="1"/>
  <c r="U44"/>
  <c r="X44" s="1"/>
  <c r="U45"/>
  <c r="X45" s="1"/>
  <c r="U46"/>
  <c r="X46" s="1"/>
  <c r="U47"/>
  <c r="X47" s="1"/>
  <c r="U48"/>
  <c r="X48" s="1"/>
  <c r="U49"/>
  <c r="X49" s="1"/>
  <c r="U50"/>
  <c r="X50" s="1"/>
  <c r="U51"/>
  <c r="X51" s="1"/>
  <c r="U52"/>
  <c r="X52" s="1"/>
  <c r="U53"/>
  <c r="X53" s="1"/>
  <c r="U54"/>
  <c r="X54" s="1"/>
  <c r="U55"/>
  <c r="X55" s="1"/>
  <c r="U56"/>
  <c r="X56" s="1"/>
  <c r="U57"/>
  <c r="X57" s="1"/>
  <c r="U58"/>
  <c r="X58" s="1"/>
  <c r="U9"/>
  <c r="X9" s="1"/>
  <c r="AG9" i="9" l="1"/>
  <c r="AG9" i="8"/>
  <c r="AG9" i="6"/>
  <c r="AG23" i="8"/>
  <c r="AG23" i="9"/>
  <c r="AG23" i="6"/>
  <c r="AG63"/>
  <c r="AG63" i="8"/>
  <c r="AG62" i="6"/>
  <c r="AG62" i="8"/>
  <c r="AG62" i="9"/>
  <c r="AG26" i="6"/>
  <c r="AG26" i="8"/>
  <c r="AG26" i="9"/>
  <c r="AG44" i="6"/>
  <c r="AG44" i="8"/>
  <c r="AG44" i="9"/>
  <c r="AG28" i="6"/>
  <c r="AG28" i="8"/>
  <c r="AG28" i="9"/>
  <c r="AG12" i="6"/>
  <c r="AG12" i="8"/>
  <c r="AG12" i="9"/>
  <c r="AG45" i="6"/>
  <c r="AG45" i="8"/>
  <c r="AG45" i="9"/>
  <c r="AG29" i="6"/>
  <c r="AG29" i="8"/>
  <c r="AG29" i="9"/>
  <c r="AG13" i="6"/>
  <c r="AG13" i="8"/>
  <c r="AG13" i="9"/>
  <c r="AG30" i="6"/>
  <c r="AG30" i="8"/>
  <c r="AG30" i="9"/>
  <c r="AG14" i="6"/>
  <c r="AG14" i="8"/>
  <c r="AG14" i="9"/>
  <c r="AG47"/>
  <c r="AG47" i="6"/>
  <c r="AG47" i="8"/>
  <c r="AG31" i="9"/>
  <c r="AG31" i="6"/>
  <c r="AG31" i="8"/>
  <c r="AG15" i="9"/>
  <c r="AG15" i="6"/>
  <c r="AG15" i="8"/>
  <c r="AG49" i="9"/>
  <c r="AG49" i="6"/>
  <c r="AG49" i="8"/>
  <c r="AG33" i="9"/>
  <c r="AG33" i="6"/>
  <c r="AG33" i="8"/>
  <c r="AG17" i="9"/>
  <c r="AG17" i="6"/>
  <c r="AG17" i="8"/>
  <c r="AG70" i="6"/>
  <c r="AG70" i="8"/>
  <c r="AG39"/>
  <c r="AG39" i="9"/>
  <c r="AG39" i="6"/>
  <c r="AG56" i="8"/>
  <c r="AG56" i="9"/>
  <c r="AG56" i="6"/>
  <c r="AG25" i="9"/>
  <c r="AG25" i="8"/>
  <c r="AG25" i="6"/>
  <c r="AG10"/>
  <c r="AG10" i="8"/>
  <c r="AG10" i="9"/>
  <c r="AG11" i="6"/>
  <c r="AG11" i="8"/>
  <c r="AG11" i="9"/>
  <c r="AG16"/>
  <c r="AG16" i="6"/>
  <c r="AG16" i="8"/>
  <c r="AG18" i="9"/>
  <c r="AG18" i="6"/>
  <c r="AG18" i="8"/>
  <c r="AG51" i="9"/>
  <c r="AG51" i="6"/>
  <c r="AG51" i="8"/>
  <c r="AG35" i="9"/>
  <c r="AG35" i="6"/>
  <c r="AG35" i="8"/>
  <c r="AG19" i="9"/>
  <c r="AG19" i="6"/>
  <c r="AG19" i="8"/>
  <c r="AG68" i="6"/>
  <c r="AG68" i="8"/>
  <c r="AG64" i="6"/>
  <c r="AG64" i="8"/>
  <c r="AG40"/>
  <c r="AG40" i="9"/>
  <c r="AG40" i="6"/>
  <c r="AG41" i="8"/>
  <c r="AG41" i="9"/>
  <c r="AG41" i="6"/>
  <c r="AG58"/>
  <c r="AG58" i="8"/>
  <c r="AG58" i="9"/>
  <c r="AG46" i="6"/>
  <c r="AG46" i="8"/>
  <c r="AG46" i="9"/>
  <c r="AG69" i="6"/>
  <c r="AG69" i="8"/>
  <c r="AG52"/>
  <c r="AG52" i="6"/>
  <c r="AG52" i="9"/>
  <c r="AG36" i="8"/>
  <c r="AG36" i="9"/>
  <c r="AG36" i="6"/>
  <c r="AG20" i="8"/>
  <c r="AG20" i="9"/>
  <c r="AG20" i="6"/>
  <c r="AG67"/>
  <c r="AG67" i="8"/>
  <c r="AG27" i="6"/>
  <c r="AG27" i="8"/>
  <c r="AG27" i="9"/>
  <c r="AG48"/>
  <c r="AG48" i="6"/>
  <c r="AG48" i="8"/>
  <c r="AG34" i="9"/>
  <c r="AG34" i="6"/>
  <c r="AG34" i="8"/>
  <c r="AG53"/>
  <c r="AG53" i="9"/>
  <c r="AG53" i="6"/>
  <c r="AG37" i="8"/>
  <c r="AG37" i="9"/>
  <c r="AG37" i="6"/>
  <c r="AG21" i="8"/>
  <c r="AG21" i="9"/>
  <c r="AG21" i="6"/>
  <c r="AG66"/>
  <c r="AG66" i="8"/>
  <c r="AG55"/>
  <c r="AG55" i="9"/>
  <c r="AG55" i="6"/>
  <c r="AG24" i="8"/>
  <c r="AG24" i="9"/>
  <c r="AG24" i="6"/>
  <c r="AG57" i="9"/>
  <c r="AG57" i="8"/>
  <c r="AG57" i="6"/>
  <c r="AG42"/>
  <c r="AG42" i="8"/>
  <c r="AG42" i="9"/>
  <c r="AG43" i="6"/>
  <c r="AG43" i="8"/>
  <c r="AG43" i="9"/>
  <c r="AG32"/>
  <c r="AG32" i="6"/>
  <c r="AG32" i="8"/>
  <c r="AG50" i="9"/>
  <c r="AG50" i="6"/>
  <c r="AG50" i="8"/>
  <c r="AG54"/>
  <c r="AG54" i="9"/>
  <c r="AG54" i="6"/>
  <c r="AG38" i="8"/>
  <c r="AG38" i="9"/>
  <c r="AG38" i="6"/>
  <c r="AG22" i="8"/>
  <c r="AG22" i="9"/>
  <c r="AG22" i="6"/>
  <c r="AG65"/>
  <c r="AG65" i="8"/>
  <c r="CD70" i="9" l="1"/>
  <c r="CD69"/>
  <c r="CD68"/>
  <c r="CD67"/>
  <c r="CD66"/>
  <c r="CD65"/>
  <c r="CD64"/>
  <c r="CD63"/>
  <c r="CD62"/>
  <c r="CD58"/>
  <c r="CD57"/>
  <c r="CD56"/>
  <c r="CD55"/>
  <c r="CD54"/>
  <c r="CD53"/>
  <c r="CD52"/>
  <c r="CD51"/>
  <c r="CD50"/>
  <c r="CD49"/>
  <c r="CD48"/>
  <c r="CD47"/>
  <c r="CD46"/>
  <c r="CD45"/>
  <c r="CD44"/>
  <c r="CD43"/>
  <c r="CD42"/>
  <c r="CD41"/>
  <c r="CD40"/>
  <c r="CD39"/>
  <c r="CD38"/>
  <c r="CD37"/>
  <c r="CD36"/>
  <c r="CD35"/>
  <c r="CD34"/>
  <c r="CD33"/>
  <c r="CD32"/>
  <c r="CD31"/>
  <c r="CD30"/>
  <c r="CD29"/>
  <c r="CD28"/>
  <c r="CD27"/>
  <c r="CD26"/>
  <c r="CD25"/>
  <c r="CD24"/>
  <c r="CD23"/>
  <c r="CD22"/>
  <c r="CD21"/>
  <c r="CD20"/>
  <c r="CD19"/>
  <c r="CD18"/>
  <c r="CD17"/>
  <c r="CD16"/>
  <c r="CD15"/>
  <c r="CD14"/>
  <c r="CD13"/>
  <c r="CD12"/>
  <c r="CD11"/>
  <c r="CD10"/>
  <c r="CD9"/>
  <c r="P72"/>
  <c r="M72"/>
  <c r="L72"/>
  <c r="K72"/>
  <c r="H72"/>
  <c r="G72"/>
  <c r="F72"/>
  <c r="N70"/>
  <c r="I70"/>
  <c r="N69"/>
  <c r="I69"/>
  <c r="N68"/>
  <c r="I68"/>
  <c r="N67"/>
  <c r="I67"/>
  <c r="N66"/>
  <c r="I66"/>
  <c r="N65"/>
  <c r="I65"/>
  <c r="N64"/>
  <c r="I64"/>
  <c r="N63"/>
  <c r="I63"/>
  <c r="AH62"/>
  <c r="N62"/>
  <c r="BV62" s="1"/>
  <c r="I62"/>
  <c r="R60"/>
  <c r="Q60"/>
  <c r="M60"/>
  <c r="M74" s="1"/>
  <c r="L60"/>
  <c r="K60"/>
  <c r="H60"/>
  <c r="G60"/>
  <c r="F60"/>
  <c r="AJ58"/>
  <c r="AH58"/>
  <c r="AF58"/>
  <c r="AD58"/>
  <c r="AC58"/>
  <c r="AA58"/>
  <c r="Z58"/>
  <c r="Y58"/>
  <c r="X58"/>
  <c r="W58"/>
  <c r="V58"/>
  <c r="U58"/>
  <c r="T58"/>
  <c r="P58"/>
  <c r="N58"/>
  <c r="BV58" s="1"/>
  <c r="I58"/>
  <c r="AJ57"/>
  <c r="AH57"/>
  <c r="AF57"/>
  <c r="AD57"/>
  <c r="AC57"/>
  <c r="AA57"/>
  <c r="Z57"/>
  <c r="Y57"/>
  <c r="X57"/>
  <c r="W57"/>
  <c r="V57"/>
  <c r="U57"/>
  <c r="T57"/>
  <c r="P57"/>
  <c r="N57"/>
  <c r="BV57" s="1"/>
  <c r="I57"/>
  <c r="AJ56"/>
  <c r="AH56"/>
  <c r="AF56"/>
  <c r="AD56"/>
  <c r="AC56"/>
  <c r="AA56"/>
  <c r="Z56"/>
  <c r="Y56"/>
  <c r="X56"/>
  <c r="W56"/>
  <c r="V56"/>
  <c r="U56"/>
  <c r="T56"/>
  <c r="P56"/>
  <c r="N56"/>
  <c r="BV56" s="1"/>
  <c r="I56"/>
  <c r="AJ55"/>
  <c r="AH55"/>
  <c r="AF55"/>
  <c r="AD55"/>
  <c r="AC55"/>
  <c r="AA55"/>
  <c r="Z55"/>
  <c r="Y55"/>
  <c r="X55"/>
  <c r="W55"/>
  <c r="V55"/>
  <c r="U55"/>
  <c r="T55"/>
  <c r="P55"/>
  <c r="N55"/>
  <c r="BV55" s="1"/>
  <c r="BW55" s="1"/>
  <c r="I55"/>
  <c r="AJ54"/>
  <c r="AH54"/>
  <c r="AF54"/>
  <c r="AD54"/>
  <c r="AC54"/>
  <c r="AA54"/>
  <c r="Z54"/>
  <c r="Y54"/>
  <c r="X54"/>
  <c r="W54"/>
  <c r="V54"/>
  <c r="U54"/>
  <c r="T54"/>
  <c r="P54"/>
  <c r="N54"/>
  <c r="BV54" s="1"/>
  <c r="I54"/>
  <c r="AJ53"/>
  <c r="AH53"/>
  <c r="AF53"/>
  <c r="AD53"/>
  <c r="AC53"/>
  <c r="AA53"/>
  <c r="Z53"/>
  <c r="Y53"/>
  <c r="X53"/>
  <c r="W53"/>
  <c r="V53"/>
  <c r="U53"/>
  <c r="T53"/>
  <c r="P53"/>
  <c r="N53"/>
  <c r="BV53" s="1"/>
  <c r="BW53" s="1"/>
  <c r="I53"/>
  <c r="AJ52"/>
  <c r="AH52"/>
  <c r="AF52"/>
  <c r="AD52"/>
  <c r="AC52"/>
  <c r="AA52"/>
  <c r="Z52"/>
  <c r="Y52"/>
  <c r="X52"/>
  <c r="W52"/>
  <c r="V52"/>
  <c r="U52"/>
  <c r="T52"/>
  <c r="P52"/>
  <c r="N52"/>
  <c r="BV52" s="1"/>
  <c r="BW52" s="1"/>
  <c r="I52"/>
  <c r="AJ51"/>
  <c r="AH51"/>
  <c r="AF51"/>
  <c r="AD51"/>
  <c r="AC51"/>
  <c r="AA51"/>
  <c r="Z51"/>
  <c r="Y51"/>
  <c r="X51"/>
  <c r="W51"/>
  <c r="V51"/>
  <c r="U51"/>
  <c r="T51"/>
  <c r="P51"/>
  <c r="N51"/>
  <c r="BV51" s="1"/>
  <c r="BW51" s="1"/>
  <c r="I51"/>
  <c r="AJ50"/>
  <c r="AH50"/>
  <c r="AF50"/>
  <c r="AD50"/>
  <c r="AC50"/>
  <c r="AA50"/>
  <c r="Z50"/>
  <c r="Y50"/>
  <c r="X50"/>
  <c r="W50"/>
  <c r="V50"/>
  <c r="U50"/>
  <c r="T50"/>
  <c r="P50"/>
  <c r="N50"/>
  <c r="BV50" s="1"/>
  <c r="BW50" s="1"/>
  <c r="I50"/>
  <c r="AJ49"/>
  <c r="AH49"/>
  <c r="AF49"/>
  <c r="AD49"/>
  <c r="AC49"/>
  <c r="AA49"/>
  <c r="Z49"/>
  <c r="Y49"/>
  <c r="X49"/>
  <c r="W49"/>
  <c r="V49"/>
  <c r="U49"/>
  <c r="T49"/>
  <c r="P49"/>
  <c r="N49"/>
  <c r="BV49" s="1"/>
  <c r="BW49" s="1"/>
  <c r="I49"/>
  <c r="AJ48"/>
  <c r="AH48"/>
  <c r="AF48"/>
  <c r="AD48"/>
  <c r="AC48"/>
  <c r="AA48"/>
  <c r="Z48"/>
  <c r="Y48"/>
  <c r="X48"/>
  <c r="W48"/>
  <c r="V48"/>
  <c r="U48"/>
  <c r="T48"/>
  <c r="P48"/>
  <c r="N48"/>
  <c r="BV48" s="1"/>
  <c r="BW48" s="1"/>
  <c r="I48"/>
  <c r="AJ47"/>
  <c r="AH47"/>
  <c r="AF47"/>
  <c r="AD47"/>
  <c r="AC47"/>
  <c r="AA47"/>
  <c r="Z47"/>
  <c r="Y47"/>
  <c r="X47"/>
  <c r="W47"/>
  <c r="V47"/>
  <c r="U47"/>
  <c r="T47"/>
  <c r="P47"/>
  <c r="N47"/>
  <c r="BV47" s="1"/>
  <c r="BW47" s="1"/>
  <c r="I47"/>
  <c r="AJ46"/>
  <c r="AH46"/>
  <c r="AF46"/>
  <c r="AD46"/>
  <c r="AC46"/>
  <c r="AA46"/>
  <c r="Z46"/>
  <c r="Y46"/>
  <c r="X46"/>
  <c r="W46"/>
  <c r="V46"/>
  <c r="U46"/>
  <c r="T46"/>
  <c r="P46"/>
  <c r="N46"/>
  <c r="BV46" s="1"/>
  <c r="BW46" s="1"/>
  <c r="I46"/>
  <c r="AJ45"/>
  <c r="AH45"/>
  <c r="AF45"/>
  <c r="AD45"/>
  <c r="AC45"/>
  <c r="AA45"/>
  <c r="Z45"/>
  <c r="Y45"/>
  <c r="X45"/>
  <c r="W45"/>
  <c r="V45"/>
  <c r="U45"/>
  <c r="T45"/>
  <c r="P45"/>
  <c r="N45"/>
  <c r="BV45" s="1"/>
  <c r="BW45" s="1"/>
  <c r="I45"/>
  <c r="AJ44"/>
  <c r="AH44"/>
  <c r="AF44"/>
  <c r="AD44"/>
  <c r="AC44"/>
  <c r="AA44"/>
  <c r="Z44"/>
  <c r="Y44"/>
  <c r="X44"/>
  <c r="W44"/>
  <c r="V44"/>
  <c r="U44"/>
  <c r="T44"/>
  <c r="P44"/>
  <c r="N44"/>
  <c r="BV44" s="1"/>
  <c r="BW44" s="1"/>
  <c r="I44"/>
  <c r="AJ43"/>
  <c r="AH43"/>
  <c r="AF43"/>
  <c r="AD43"/>
  <c r="AC43"/>
  <c r="AA43"/>
  <c r="Z43"/>
  <c r="Y43"/>
  <c r="X43"/>
  <c r="W43"/>
  <c r="V43"/>
  <c r="U43"/>
  <c r="T43"/>
  <c r="P43"/>
  <c r="N43"/>
  <c r="BV43" s="1"/>
  <c r="BW43" s="1"/>
  <c r="I43"/>
  <c r="AJ42"/>
  <c r="AH42"/>
  <c r="AF42"/>
  <c r="AD42"/>
  <c r="AC42"/>
  <c r="AA42"/>
  <c r="Z42"/>
  <c r="Y42"/>
  <c r="X42"/>
  <c r="W42"/>
  <c r="V42"/>
  <c r="U42"/>
  <c r="T42"/>
  <c r="P42"/>
  <c r="N42"/>
  <c r="BV42" s="1"/>
  <c r="BW42" s="1"/>
  <c r="I42"/>
  <c r="AJ41"/>
  <c r="AH41"/>
  <c r="AF41"/>
  <c r="AD41"/>
  <c r="AC41"/>
  <c r="AA41"/>
  <c r="Z41"/>
  <c r="Y41"/>
  <c r="X41"/>
  <c r="W41"/>
  <c r="V41"/>
  <c r="U41"/>
  <c r="T41"/>
  <c r="P41"/>
  <c r="N41"/>
  <c r="BV41" s="1"/>
  <c r="BW41" s="1"/>
  <c r="I41"/>
  <c r="AJ40"/>
  <c r="AH40"/>
  <c r="AF40"/>
  <c r="AD40"/>
  <c r="AC40"/>
  <c r="AA40"/>
  <c r="Z40"/>
  <c r="Y40"/>
  <c r="X40"/>
  <c r="W40"/>
  <c r="V40"/>
  <c r="U40"/>
  <c r="T40"/>
  <c r="P40"/>
  <c r="N40"/>
  <c r="BV40" s="1"/>
  <c r="BW40" s="1"/>
  <c r="I40"/>
  <c r="AJ39"/>
  <c r="AH39"/>
  <c r="AF39"/>
  <c r="AD39"/>
  <c r="AC39"/>
  <c r="AA39"/>
  <c r="Z39"/>
  <c r="Y39"/>
  <c r="X39"/>
  <c r="W39"/>
  <c r="V39"/>
  <c r="U39"/>
  <c r="T39"/>
  <c r="P39"/>
  <c r="N39"/>
  <c r="BV39" s="1"/>
  <c r="BW39" s="1"/>
  <c r="I39"/>
  <c r="AJ38"/>
  <c r="AH38"/>
  <c r="AF38"/>
  <c r="AD38"/>
  <c r="AC38"/>
  <c r="AA38"/>
  <c r="Z38"/>
  <c r="Y38"/>
  <c r="X38"/>
  <c r="W38"/>
  <c r="V38"/>
  <c r="U38"/>
  <c r="T38"/>
  <c r="P38"/>
  <c r="N38"/>
  <c r="BV38" s="1"/>
  <c r="I38"/>
  <c r="AJ37"/>
  <c r="AH37"/>
  <c r="AF37"/>
  <c r="AD37"/>
  <c r="AC37"/>
  <c r="AA37"/>
  <c r="Z37"/>
  <c r="Y37"/>
  <c r="X37"/>
  <c r="W37"/>
  <c r="V37"/>
  <c r="U37"/>
  <c r="T37"/>
  <c r="P37"/>
  <c r="N37"/>
  <c r="BV37" s="1"/>
  <c r="BW37" s="1"/>
  <c r="I37"/>
  <c r="AJ36"/>
  <c r="AH36"/>
  <c r="AF36"/>
  <c r="AD36"/>
  <c r="AC36"/>
  <c r="AA36"/>
  <c r="Z36"/>
  <c r="Y36"/>
  <c r="X36"/>
  <c r="W36"/>
  <c r="V36"/>
  <c r="U36"/>
  <c r="T36"/>
  <c r="P36"/>
  <c r="N36"/>
  <c r="BV36" s="1"/>
  <c r="BW36" s="1"/>
  <c r="I36"/>
  <c r="AJ35"/>
  <c r="AH35"/>
  <c r="AF35"/>
  <c r="AD35"/>
  <c r="AC35"/>
  <c r="AA35"/>
  <c r="Z35"/>
  <c r="Y35"/>
  <c r="X35"/>
  <c r="W35"/>
  <c r="V35"/>
  <c r="U35"/>
  <c r="T35"/>
  <c r="P35"/>
  <c r="N35"/>
  <c r="BV35" s="1"/>
  <c r="BW35" s="1"/>
  <c r="I35"/>
  <c r="AJ34"/>
  <c r="AH34"/>
  <c r="AF34"/>
  <c r="AD34"/>
  <c r="AC34"/>
  <c r="AA34"/>
  <c r="Z34"/>
  <c r="Y34"/>
  <c r="X34"/>
  <c r="W34"/>
  <c r="V34"/>
  <c r="U34"/>
  <c r="T34"/>
  <c r="P34"/>
  <c r="N34"/>
  <c r="BV34" s="1"/>
  <c r="BW34" s="1"/>
  <c r="I34"/>
  <c r="AJ33"/>
  <c r="AH33"/>
  <c r="AF33"/>
  <c r="AD33"/>
  <c r="AC33"/>
  <c r="AA33"/>
  <c r="Z33"/>
  <c r="Y33"/>
  <c r="X33"/>
  <c r="W33"/>
  <c r="V33"/>
  <c r="U33"/>
  <c r="T33"/>
  <c r="P33"/>
  <c r="N33"/>
  <c r="BV33" s="1"/>
  <c r="BW33" s="1"/>
  <c r="I33"/>
  <c r="AJ32"/>
  <c r="AH32"/>
  <c r="AF32"/>
  <c r="AD32"/>
  <c r="AC32"/>
  <c r="AA32"/>
  <c r="Z32"/>
  <c r="Y32"/>
  <c r="X32"/>
  <c r="W32"/>
  <c r="V32"/>
  <c r="U32"/>
  <c r="T32"/>
  <c r="P32"/>
  <c r="N32"/>
  <c r="BV32" s="1"/>
  <c r="BW32" s="1"/>
  <c r="I32"/>
  <c r="AJ31"/>
  <c r="AH31"/>
  <c r="AF31"/>
  <c r="AD31"/>
  <c r="AC31"/>
  <c r="AA31"/>
  <c r="Z31"/>
  <c r="Y31"/>
  <c r="X31"/>
  <c r="W31"/>
  <c r="V31"/>
  <c r="U31"/>
  <c r="T31"/>
  <c r="P31"/>
  <c r="N31"/>
  <c r="BV31" s="1"/>
  <c r="BW31" s="1"/>
  <c r="I31"/>
  <c r="AJ30"/>
  <c r="AH30"/>
  <c r="AF30"/>
  <c r="AD30"/>
  <c r="AC30"/>
  <c r="AA30"/>
  <c r="Z30"/>
  <c r="Y30"/>
  <c r="X30"/>
  <c r="W30"/>
  <c r="V30"/>
  <c r="U30"/>
  <c r="T30"/>
  <c r="P30"/>
  <c r="N30"/>
  <c r="BV30" s="1"/>
  <c r="BW30" s="1"/>
  <c r="I30"/>
  <c r="AJ29"/>
  <c r="AH29"/>
  <c r="AF29"/>
  <c r="AD29"/>
  <c r="AC29"/>
  <c r="AA29"/>
  <c r="Z29"/>
  <c r="Y29"/>
  <c r="X29"/>
  <c r="W29"/>
  <c r="V29"/>
  <c r="U29"/>
  <c r="T29"/>
  <c r="P29"/>
  <c r="N29"/>
  <c r="BV29" s="1"/>
  <c r="BW29" s="1"/>
  <c r="I29"/>
  <c r="AJ28"/>
  <c r="AH28"/>
  <c r="AF28"/>
  <c r="AD28"/>
  <c r="AC28"/>
  <c r="AA28"/>
  <c r="Z28"/>
  <c r="Y28"/>
  <c r="X28"/>
  <c r="W28"/>
  <c r="V28"/>
  <c r="U28"/>
  <c r="T28"/>
  <c r="P28"/>
  <c r="N28"/>
  <c r="BV28" s="1"/>
  <c r="BW28" s="1"/>
  <c r="I28"/>
  <c r="AJ27"/>
  <c r="AH27"/>
  <c r="AF27"/>
  <c r="AD27"/>
  <c r="AC27"/>
  <c r="AA27"/>
  <c r="Z27"/>
  <c r="Y27"/>
  <c r="X27"/>
  <c r="W27"/>
  <c r="V27"/>
  <c r="U27"/>
  <c r="T27"/>
  <c r="P27"/>
  <c r="N27"/>
  <c r="BV27" s="1"/>
  <c r="BW27" s="1"/>
  <c r="I27"/>
  <c r="AJ26"/>
  <c r="AH26"/>
  <c r="AF26"/>
  <c r="AD26"/>
  <c r="AC26"/>
  <c r="AA26"/>
  <c r="Z26"/>
  <c r="Y26"/>
  <c r="X26"/>
  <c r="W26"/>
  <c r="V26"/>
  <c r="U26"/>
  <c r="T26"/>
  <c r="P26"/>
  <c r="N26"/>
  <c r="BV26" s="1"/>
  <c r="BW26" s="1"/>
  <c r="I26"/>
  <c r="AJ25"/>
  <c r="AH25"/>
  <c r="AF25"/>
  <c r="AD25"/>
  <c r="AC25"/>
  <c r="AA25"/>
  <c r="Z25"/>
  <c r="Y25"/>
  <c r="X25"/>
  <c r="W25"/>
  <c r="V25"/>
  <c r="U25"/>
  <c r="T25"/>
  <c r="P25"/>
  <c r="N25"/>
  <c r="BV25" s="1"/>
  <c r="BW25" s="1"/>
  <c r="I25"/>
  <c r="AJ24"/>
  <c r="AH24"/>
  <c r="AF24"/>
  <c r="AD24"/>
  <c r="AC24"/>
  <c r="AA24"/>
  <c r="Z24"/>
  <c r="Y24"/>
  <c r="X24"/>
  <c r="W24"/>
  <c r="V24"/>
  <c r="U24"/>
  <c r="T24"/>
  <c r="P24"/>
  <c r="N24"/>
  <c r="BV24" s="1"/>
  <c r="BW24" s="1"/>
  <c r="I24"/>
  <c r="AJ23"/>
  <c r="AH23"/>
  <c r="AF23"/>
  <c r="AD23"/>
  <c r="AC23"/>
  <c r="AA23"/>
  <c r="Z23"/>
  <c r="Y23"/>
  <c r="X23"/>
  <c r="W23"/>
  <c r="V23"/>
  <c r="U23"/>
  <c r="T23"/>
  <c r="P23"/>
  <c r="N23"/>
  <c r="BV23" s="1"/>
  <c r="BW23" s="1"/>
  <c r="I23"/>
  <c r="AJ22"/>
  <c r="AH22"/>
  <c r="AF22"/>
  <c r="AD22"/>
  <c r="AC22"/>
  <c r="AA22"/>
  <c r="Z22"/>
  <c r="Y22"/>
  <c r="X22"/>
  <c r="W22"/>
  <c r="V22"/>
  <c r="U22"/>
  <c r="T22"/>
  <c r="P22"/>
  <c r="N22"/>
  <c r="BV22" s="1"/>
  <c r="I22"/>
  <c r="AJ21"/>
  <c r="AH21"/>
  <c r="AF21"/>
  <c r="AD21"/>
  <c r="AC21"/>
  <c r="AA21"/>
  <c r="Z21"/>
  <c r="Y21"/>
  <c r="X21"/>
  <c r="W21"/>
  <c r="V21"/>
  <c r="U21"/>
  <c r="T21"/>
  <c r="P21"/>
  <c r="N21"/>
  <c r="BV21" s="1"/>
  <c r="BW21" s="1"/>
  <c r="I21"/>
  <c r="AJ20"/>
  <c r="AH20"/>
  <c r="AF20"/>
  <c r="AD20"/>
  <c r="AC20"/>
  <c r="AA20"/>
  <c r="Z20"/>
  <c r="Y20"/>
  <c r="X20"/>
  <c r="W20"/>
  <c r="V20"/>
  <c r="U20"/>
  <c r="T20"/>
  <c r="P20"/>
  <c r="N20"/>
  <c r="BV20" s="1"/>
  <c r="BW20" s="1"/>
  <c r="I20"/>
  <c r="AJ19"/>
  <c r="AH19"/>
  <c r="AF19"/>
  <c r="AD19"/>
  <c r="AC19"/>
  <c r="AA19"/>
  <c r="Z19"/>
  <c r="Y19"/>
  <c r="X19"/>
  <c r="W19"/>
  <c r="V19"/>
  <c r="U19"/>
  <c r="T19"/>
  <c r="P19"/>
  <c r="N19"/>
  <c r="BV19" s="1"/>
  <c r="BW19" s="1"/>
  <c r="I19"/>
  <c r="AJ18"/>
  <c r="AH18"/>
  <c r="AF18"/>
  <c r="AD18"/>
  <c r="AC18"/>
  <c r="AA18"/>
  <c r="Z18"/>
  <c r="Y18"/>
  <c r="X18"/>
  <c r="W18"/>
  <c r="V18"/>
  <c r="U18"/>
  <c r="T18"/>
  <c r="P18"/>
  <c r="N18"/>
  <c r="BV18" s="1"/>
  <c r="BW18" s="1"/>
  <c r="I18"/>
  <c r="AJ17"/>
  <c r="AH17"/>
  <c r="AF17"/>
  <c r="AD17"/>
  <c r="AC17"/>
  <c r="AA17"/>
  <c r="Z17"/>
  <c r="Y17"/>
  <c r="X17"/>
  <c r="W17"/>
  <c r="V17"/>
  <c r="U17"/>
  <c r="T17"/>
  <c r="P17"/>
  <c r="N17"/>
  <c r="BV17" s="1"/>
  <c r="BW17" s="1"/>
  <c r="I17"/>
  <c r="AJ16"/>
  <c r="AH16"/>
  <c r="AF16"/>
  <c r="AD16"/>
  <c r="AC16"/>
  <c r="AA16"/>
  <c r="Z16"/>
  <c r="Y16"/>
  <c r="X16"/>
  <c r="W16"/>
  <c r="V16"/>
  <c r="U16"/>
  <c r="T16"/>
  <c r="P16"/>
  <c r="N16"/>
  <c r="BV16" s="1"/>
  <c r="BW16" s="1"/>
  <c r="I16"/>
  <c r="AJ15"/>
  <c r="AH15"/>
  <c r="AF15"/>
  <c r="AD15"/>
  <c r="AC15"/>
  <c r="AA15"/>
  <c r="Z15"/>
  <c r="Y15"/>
  <c r="X15"/>
  <c r="W15"/>
  <c r="V15"/>
  <c r="U15"/>
  <c r="T15"/>
  <c r="P15"/>
  <c r="N15"/>
  <c r="BV15" s="1"/>
  <c r="BW15" s="1"/>
  <c r="I15"/>
  <c r="AJ14"/>
  <c r="AH14"/>
  <c r="AF14"/>
  <c r="AD14"/>
  <c r="AC14"/>
  <c r="AA14"/>
  <c r="Z14"/>
  <c r="Y14"/>
  <c r="X14"/>
  <c r="W14"/>
  <c r="V14"/>
  <c r="U14"/>
  <c r="T14"/>
  <c r="P14"/>
  <c r="N14"/>
  <c r="BV14" s="1"/>
  <c r="BW14" s="1"/>
  <c r="I14"/>
  <c r="AJ13"/>
  <c r="AH13"/>
  <c r="AF13"/>
  <c r="AD13"/>
  <c r="AC13"/>
  <c r="AA13"/>
  <c r="Z13"/>
  <c r="Y13"/>
  <c r="X13"/>
  <c r="W13"/>
  <c r="V13"/>
  <c r="U13"/>
  <c r="T13"/>
  <c r="P13"/>
  <c r="N13"/>
  <c r="BV13" s="1"/>
  <c r="BW13" s="1"/>
  <c r="I13"/>
  <c r="AJ12"/>
  <c r="AH12"/>
  <c r="AF12"/>
  <c r="AD12"/>
  <c r="AC12"/>
  <c r="AA12"/>
  <c r="Z12"/>
  <c r="Y12"/>
  <c r="X12"/>
  <c r="W12"/>
  <c r="V12"/>
  <c r="U12"/>
  <c r="T12"/>
  <c r="P12"/>
  <c r="N12"/>
  <c r="BV12" s="1"/>
  <c r="BW12" s="1"/>
  <c r="I12"/>
  <c r="AJ11"/>
  <c r="AH11"/>
  <c r="AF11"/>
  <c r="AD11"/>
  <c r="AC11"/>
  <c r="AA11"/>
  <c r="Z11"/>
  <c r="Y11"/>
  <c r="X11"/>
  <c r="W11"/>
  <c r="V11"/>
  <c r="U11"/>
  <c r="T11"/>
  <c r="P11"/>
  <c r="N11"/>
  <c r="BV11" s="1"/>
  <c r="BW11" s="1"/>
  <c r="I11"/>
  <c r="AJ10"/>
  <c r="AH10"/>
  <c r="AF10"/>
  <c r="AD10"/>
  <c r="AC10"/>
  <c r="AA10"/>
  <c r="Z10"/>
  <c r="Y10"/>
  <c r="X10"/>
  <c r="W10"/>
  <c r="V10"/>
  <c r="U10"/>
  <c r="T10"/>
  <c r="P10"/>
  <c r="N10"/>
  <c r="BV10" s="1"/>
  <c r="BW10" s="1"/>
  <c r="I10"/>
  <c r="AJ9"/>
  <c r="AH9"/>
  <c r="AF9"/>
  <c r="AD9"/>
  <c r="AC9"/>
  <c r="AA9"/>
  <c r="Z9"/>
  <c r="Y9"/>
  <c r="X9"/>
  <c r="W9"/>
  <c r="V9"/>
  <c r="U9"/>
  <c r="T9"/>
  <c r="P9"/>
  <c r="N9"/>
  <c r="BV9" s="1"/>
  <c r="BW9" s="1"/>
  <c r="I9"/>
  <c r="BL70" i="8"/>
  <c r="BL69"/>
  <c r="BL68"/>
  <c r="BL67"/>
  <c r="BL66"/>
  <c r="BL65"/>
  <c r="BL64"/>
  <c r="BL63"/>
  <c r="BL62"/>
  <c r="BL58"/>
  <c r="BL57"/>
  <c r="BL56"/>
  <c r="BL55"/>
  <c r="BL54"/>
  <c r="BL53"/>
  <c r="BL52"/>
  <c r="BL51"/>
  <c r="BL50"/>
  <c r="BL49"/>
  <c r="BL48"/>
  <c r="BL47"/>
  <c r="BL46"/>
  <c r="BL45"/>
  <c r="BL44"/>
  <c r="BL43"/>
  <c r="BL42"/>
  <c r="BL41"/>
  <c r="BL40"/>
  <c r="BL39"/>
  <c r="BL38"/>
  <c r="BL37"/>
  <c r="BL36"/>
  <c r="BL35"/>
  <c r="BL34"/>
  <c r="BL33"/>
  <c r="BL32"/>
  <c r="BL31"/>
  <c r="BL30"/>
  <c r="BL29"/>
  <c r="BL28"/>
  <c r="BL27"/>
  <c r="BL26"/>
  <c r="BL25"/>
  <c r="BL24"/>
  <c r="BL23"/>
  <c r="BL22"/>
  <c r="BL21"/>
  <c r="BL20"/>
  <c r="BL19"/>
  <c r="BL18"/>
  <c r="BL17"/>
  <c r="BL16"/>
  <c r="BL15"/>
  <c r="BL14"/>
  <c r="BL13"/>
  <c r="BL12"/>
  <c r="BL11"/>
  <c r="BL10"/>
  <c r="BL9"/>
  <c r="CB70" i="6"/>
  <c r="CB69"/>
  <c r="CB68"/>
  <c r="CB67"/>
  <c r="CB66"/>
  <c r="CB65"/>
  <c r="CB64"/>
  <c r="CB63"/>
  <c r="CB62"/>
  <c r="CB58"/>
  <c r="CB57"/>
  <c r="CB56"/>
  <c r="CB55"/>
  <c r="CB54"/>
  <c r="CB53"/>
  <c r="CB52"/>
  <c r="CB51"/>
  <c r="CB50"/>
  <c r="CB49"/>
  <c r="CB48"/>
  <c r="CB47"/>
  <c r="CB46"/>
  <c r="CB45"/>
  <c r="CB44"/>
  <c r="CB43"/>
  <c r="CB42"/>
  <c r="CB41"/>
  <c r="CB40"/>
  <c r="CB39"/>
  <c r="CB38"/>
  <c r="CB37"/>
  <c r="CB36"/>
  <c r="CB35"/>
  <c r="CB34"/>
  <c r="CB33"/>
  <c r="CB32"/>
  <c r="CB31"/>
  <c r="CB30"/>
  <c r="CB29"/>
  <c r="CB28"/>
  <c r="CB27"/>
  <c r="CB26"/>
  <c r="CB25"/>
  <c r="CB24"/>
  <c r="CB23"/>
  <c r="CB22"/>
  <c r="CB21"/>
  <c r="CB20"/>
  <c r="CB19"/>
  <c r="CB18"/>
  <c r="CB17"/>
  <c r="CB16"/>
  <c r="CB15"/>
  <c r="CB14"/>
  <c r="CB13"/>
  <c r="CB12"/>
  <c r="CB11"/>
  <c r="CB10"/>
  <c r="CB9"/>
  <c r="T59" i="1"/>
  <c r="O59"/>
  <c r="J59"/>
  <c r="H59"/>
  <c r="I59" s="1"/>
  <c r="G59"/>
  <c r="N17" i="8"/>
  <c r="BD17" s="1"/>
  <c r="N17" i="6"/>
  <c r="BT17" s="1"/>
  <c r="P72" i="8"/>
  <c r="M72"/>
  <c r="L72"/>
  <c r="K72"/>
  <c r="H72"/>
  <c r="G72"/>
  <c r="F72"/>
  <c r="AH70"/>
  <c r="N70"/>
  <c r="BD70" s="1"/>
  <c r="BE70" s="1"/>
  <c r="I70"/>
  <c r="AH69"/>
  <c r="N69"/>
  <c r="BD69" s="1"/>
  <c r="I69"/>
  <c r="AH68"/>
  <c r="N68"/>
  <c r="I68"/>
  <c r="AH67"/>
  <c r="N67"/>
  <c r="BD67" s="1"/>
  <c r="I67"/>
  <c r="AH66"/>
  <c r="N66"/>
  <c r="BD66" s="1"/>
  <c r="I66"/>
  <c r="AH65"/>
  <c r="N65"/>
  <c r="BD65" s="1"/>
  <c r="I65"/>
  <c r="AH64"/>
  <c r="N64"/>
  <c r="BD64" s="1"/>
  <c r="I64"/>
  <c r="AH63"/>
  <c r="N63"/>
  <c r="BD63" s="1"/>
  <c r="I63"/>
  <c r="AH62"/>
  <c r="N62"/>
  <c r="BD62" s="1"/>
  <c r="I62"/>
  <c r="R60"/>
  <c r="Q60"/>
  <c r="M60"/>
  <c r="M74" s="1"/>
  <c r="L60"/>
  <c r="K60"/>
  <c r="H60"/>
  <c r="H74" s="1"/>
  <c r="G60"/>
  <c r="F60"/>
  <c r="F74" s="1"/>
  <c r="AJ58"/>
  <c r="AH58"/>
  <c r="AF58"/>
  <c r="AD58"/>
  <c r="AC58"/>
  <c r="AA58"/>
  <c r="Z58"/>
  <c r="Y58"/>
  <c r="X58"/>
  <c r="W58"/>
  <c r="V58"/>
  <c r="U58"/>
  <c r="T58"/>
  <c r="P58"/>
  <c r="S58" s="1"/>
  <c r="N58"/>
  <c r="BD58" s="1"/>
  <c r="BE58" s="1"/>
  <c r="I58"/>
  <c r="AJ57"/>
  <c r="AH57"/>
  <c r="AF57"/>
  <c r="AD57"/>
  <c r="AC57"/>
  <c r="AA57"/>
  <c r="Z57"/>
  <c r="Y57"/>
  <c r="X57"/>
  <c r="W57"/>
  <c r="V57"/>
  <c r="U57"/>
  <c r="T57"/>
  <c r="P57"/>
  <c r="S57" s="1"/>
  <c r="N57"/>
  <c r="BD57" s="1"/>
  <c r="BE57" s="1"/>
  <c r="I57"/>
  <c r="AJ56"/>
  <c r="AH56"/>
  <c r="AF56"/>
  <c r="AD56"/>
  <c r="AC56"/>
  <c r="AA56"/>
  <c r="Z56"/>
  <c r="Y56"/>
  <c r="X56"/>
  <c r="W56"/>
  <c r="V56"/>
  <c r="U56"/>
  <c r="T56"/>
  <c r="P56"/>
  <c r="S56" s="1"/>
  <c r="N56"/>
  <c r="BD56" s="1"/>
  <c r="BE56" s="1"/>
  <c r="I56"/>
  <c r="AJ55"/>
  <c r="AH55"/>
  <c r="AF55"/>
  <c r="AD55"/>
  <c r="AC55"/>
  <c r="AA55"/>
  <c r="Z55"/>
  <c r="Y55"/>
  <c r="X55"/>
  <c r="W55"/>
  <c r="V55"/>
  <c r="U55"/>
  <c r="T55"/>
  <c r="P55"/>
  <c r="S55" s="1"/>
  <c r="N55"/>
  <c r="BD55" s="1"/>
  <c r="BE55" s="1"/>
  <c r="I55"/>
  <c r="AJ54"/>
  <c r="AH54"/>
  <c r="AF54"/>
  <c r="AD54"/>
  <c r="AC54"/>
  <c r="AA54"/>
  <c r="Z54"/>
  <c r="Y54"/>
  <c r="X54"/>
  <c r="W54"/>
  <c r="V54"/>
  <c r="U54"/>
  <c r="T54"/>
  <c r="P54"/>
  <c r="S54" s="1"/>
  <c r="N54"/>
  <c r="BD54" s="1"/>
  <c r="BE54" s="1"/>
  <c r="I54"/>
  <c r="AJ53"/>
  <c r="AH53"/>
  <c r="AF53"/>
  <c r="AD53"/>
  <c r="AC53"/>
  <c r="AA53"/>
  <c r="Z53"/>
  <c r="Y53"/>
  <c r="X53"/>
  <c r="W53"/>
  <c r="V53"/>
  <c r="U53"/>
  <c r="T53"/>
  <c r="P53"/>
  <c r="S53" s="1"/>
  <c r="N53"/>
  <c r="BD53" s="1"/>
  <c r="BE53" s="1"/>
  <c r="I53"/>
  <c r="AJ52"/>
  <c r="AH52"/>
  <c r="AF52"/>
  <c r="AD52"/>
  <c r="AC52"/>
  <c r="AA52"/>
  <c r="Z52"/>
  <c r="Y52"/>
  <c r="X52"/>
  <c r="W52"/>
  <c r="V52"/>
  <c r="U52"/>
  <c r="T52"/>
  <c r="P52"/>
  <c r="S52" s="1"/>
  <c r="N52"/>
  <c r="BD52" s="1"/>
  <c r="BE52" s="1"/>
  <c r="I52"/>
  <c r="AJ51"/>
  <c r="AH51"/>
  <c r="AF51"/>
  <c r="AD51"/>
  <c r="AC51"/>
  <c r="AA51"/>
  <c r="Z51"/>
  <c r="Y51"/>
  <c r="X51"/>
  <c r="W51"/>
  <c r="V51"/>
  <c r="U51"/>
  <c r="T51"/>
  <c r="P51"/>
  <c r="S51" s="1"/>
  <c r="N51"/>
  <c r="BD51" s="1"/>
  <c r="BE51" s="1"/>
  <c r="I51"/>
  <c r="AJ50"/>
  <c r="AH50"/>
  <c r="AF50"/>
  <c r="AD50"/>
  <c r="AC50"/>
  <c r="AA50"/>
  <c r="Z50"/>
  <c r="Y50"/>
  <c r="X50"/>
  <c r="W50"/>
  <c r="V50"/>
  <c r="U50"/>
  <c r="T50"/>
  <c r="P50"/>
  <c r="S50" s="1"/>
  <c r="N50"/>
  <c r="BD50" s="1"/>
  <c r="I50"/>
  <c r="AJ49"/>
  <c r="AH49"/>
  <c r="AF49"/>
  <c r="AD49"/>
  <c r="AC49"/>
  <c r="AA49"/>
  <c r="Z49"/>
  <c r="Y49"/>
  <c r="X49"/>
  <c r="W49"/>
  <c r="V49"/>
  <c r="U49"/>
  <c r="T49"/>
  <c r="P49"/>
  <c r="S49" s="1"/>
  <c r="N49"/>
  <c r="BD49" s="1"/>
  <c r="I49"/>
  <c r="AJ48"/>
  <c r="AH48"/>
  <c r="AF48"/>
  <c r="AD48"/>
  <c r="AC48"/>
  <c r="AA48"/>
  <c r="Z48"/>
  <c r="Y48"/>
  <c r="X48"/>
  <c r="W48"/>
  <c r="V48"/>
  <c r="U48"/>
  <c r="T48"/>
  <c r="P48"/>
  <c r="S48" s="1"/>
  <c r="N48"/>
  <c r="BD48" s="1"/>
  <c r="I48"/>
  <c r="AJ47"/>
  <c r="AH47"/>
  <c r="AF47"/>
  <c r="AD47"/>
  <c r="AC47"/>
  <c r="AA47"/>
  <c r="Z47"/>
  <c r="Y47"/>
  <c r="X47"/>
  <c r="W47"/>
  <c r="V47"/>
  <c r="U47"/>
  <c r="T47"/>
  <c r="P47"/>
  <c r="S47" s="1"/>
  <c r="N47"/>
  <c r="BD47" s="1"/>
  <c r="I47"/>
  <c r="AJ46"/>
  <c r="AH46"/>
  <c r="AF46"/>
  <c r="AD46"/>
  <c r="AC46"/>
  <c r="AA46"/>
  <c r="Z46"/>
  <c r="Y46"/>
  <c r="X46"/>
  <c r="W46"/>
  <c r="V46"/>
  <c r="U46"/>
  <c r="T46"/>
  <c r="P46"/>
  <c r="S46" s="1"/>
  <c r="N46"/>
  <c r="BD46" s="1"/>
  <c r="I46"/>
  <c r="AJ45"/>
  <c r="AH45"/>
  <c r="AF45"/>
  <c r="AD45"/>
  <c r="AC45"/>
  <c r="AA45"/>
  <c r="Z45"/>
  <c r="Y45"/>
  <c r="X45"/>
  <c r="W45"/>
  <c r="V45"/>
  <c r="U45"/>
  <c r="T45"/>
  <c r="P45"/>
  <c r="S45" s="1"/>
  <c r="N45"/>
  <c r="BD45" s="1"/>
  <c r="BE45" s="1"/>
  <c r="I45"/>
  <c r="AJ44"/>
  <c r="AH44"/>
  <c r="AF44"/>
  <c r="AD44"/>
  <c r="AC44"/>
  <c r="AA44"/>
  <c r="Z44"/>
  <c r="Y44"/>
  <c r="X44"/>
  <c r="W44"/>
  <c r="V44"/>
  <c r="U44"/>
  <c r="T44"/>
  <c r="P44"/>
  <c r="S44" s="1"/>
  <c r="N44"/>
  <c r="BD44" s="1"/>
  <c r="BE44" s="1"/>
  <c r="I44"/>
  <c r="AJ43"/>
  <c r="AH43"/>
  <c r="AF43"/>
  <c r="AD43"/>
  <c r="AC43"/>
  <c r="AA43"/>
  <c r="Z43"/>
  <c r="Y43"/>
  <c r="X43"/>
  <c r="W43"/>
  <c r="V43"/>
  <c r="U43"/>
  <c r="T43"/>
  <c r="P43"/>
  <c r="S43" s="1"/>
  <c r="N43"/>
  <c r="BD43" s="1"/>
  <c r="I43"/>
  <c r="AJ42"/>
  <c r="AH42"/>
  <c r="AF42"/>
  <c r="AD42"/>
  <c r="AC42"/>
  <c r="AA42"/>
  <c r="Z42"/>
  <c r="Y42"/>
  <c r="X42"/>
  <c r="W42"/>
  <c r="V42"/>
  <c r="U42"/>
  <c r="T42"/>
  <c r="P42"/>
  <c r="S42" s="1"/>
  <c r="N42"/>
  <c r="BD42" s="1"/>
  <c r="I42"/>
  <c r="AJ41"/>
  <c r="AH41"/>
  <c r="AF41"/>
  <c r="AD41"/>
  <c r="AC41"/>
  <c r="AA41"/>
  <c r="Z41"/>
  <c r="Y41"/>
  <c r="X41"/>
  <c r="W41"/>
  <c r="V41"/>
  <c r="U41"/>
  <c r="T41"/>
  <c r="P41"/>
  <c r="S41" s="1"/>
  <c r="N41"/>
  <c r="BD41" s="1"/>
  <c r="I41"/>
  <c r="AJ40"/>
  <c r="AH40"/>
  <c r="AF40"/>
  <c r="AD40"/>
  <c r="AC40"/>
  <c r="AA40"/>
  <c r="Z40"/>
  <c r="Y40"/>
  <c r="X40"/>
  <c r="W40"/>
  <c r="V40"/>
  <c r="U40"/>
  <c r="T40"/>
  <c r="P40"/>
  <c r="S40" s="1"/>
  <c r="N40"/>
  <c r="BD40" s="1"/>
  <c r="I40"/>
  <c r="AJ39"/>
  <c r="AH39"/>
  <c r="AF39"/>
  <c r="AD39"/>
  <c r="AC39"/>
  <c r="AA39"/>
  <c r="Z39"/>
  <c r="Y39"/>
  <c r="X39"/>
  <c r="W39"/>
  <c r="V39"/>
  <c r="U39"/>
  <c r="T39"/>
  <c r="P39"/>
  <c r="S39" s="1"/>
  <c r="N39"/>
  <c r="BD39" s="1"/>
  <c r="BE39" s="1"/>
  <c r="I39"/>
  <c r="AJ38"/>
  <c r="AH38"/>
  <c r="AF38"/>
  <c r="AD38"/>
  <c r="AC38"/>
  <c r="AA38"/>
  <c r="Z38"/>
  <c r="Y38"/>
  <c r="X38"/>
  <c r="W38"/>
  <c r="V38"/>
  <c r="U38"/>
  <c r="T38"/>
  <c r="P38"/>
  <c r="S38" s="1"/>
  <c r="N38"/>
  <c r="BD38" s="1"/>
  <c r="BE38" s="1"/>
  <c r="I38"/>
  <c r="AJ37"/>
  <c r="AH37"/>
  <c r="AF37"/>
  <c r="AD37"/>
  <c r="AC37"/>
  <c r="AA37"/>
  <c r="Z37"/>
  <c r="Y37"/>
  <c r="X37"/>
  <c r="W37"/>
  <c r="V37"/>
  <c r="U37"/>
  <c r="T37"/>
  <c r="P37"/>
  <c r="S37" s="1"/>
  <c r="N37"/>
  <c r="BD37" s="1"/>
  <c r="BE37" s="1"/>
  <c r="I37"/>
  <c r="AJ36"/>
  <c r="AH36"/>
  <c r="AF36"/>
  <c r="AD36"/>
  <c r="AC36"/>
  <c r="AA36"/>
  <c r="Z36"/>
  <c r="Y36"/>
  <c r="X36"/>
  <c r="W36"/>
  <c r="V36"/>
  <c r="U36"/>
  <c r="T36"/>
  <c r="P36"/>
  <c r="S36" s="1"/>
  <c r="N36"/>
  <c r="BD36" s="1"/>
  <c r="BE36" s="1"/>
  <c r="I36"/>
  <c r="AJ35"/>
  <c r="AH35"/>
  <c r="AF35"/>
  <c r="AD35"/>
  <c r="AC35"/>
  <c r="AA35"/>
  <c r="Z35"/>
  <c r="Y35"/>
  <c r="X35"/>
  <c r="W35"/>
  <c r="V35"/>
  <c r="U35"/>
  <c r="T35"/>
  <c r="P35"/>
  <c r="S35" s="1"/>
  <c r="N35"/>
  <c r="BD35" s="1"/>
  <c r="BE35" s="1"/>
  <c r="I35"/>
  <c r="AJ34"/>
  <c r="AH34"/>
  <c r="AF34"/>
  <c r="AD34"/>
  <c r="AC34"/>
  <c r="AA34"/>
  <c r="Z34"/>
  <c r="Y34"/>
  <c r="X34"/>
  <c r="W34"/>
  <c r="V34"/>
  <c r="U34"/>
  <c r="T34"/>
  <c r="P34"/>
  <c r="S34" s="1"/>
  <c r="N34"/>
  <c r="BD34" s="1"/>
  <c r="BE34" s="1"/>
  <c r="I34"/>
  <c r="AJ33"/>
  <c r="AH33"/>
  <c r="AF33"/>
  <c r="AD33"/>
  <c r="AC33"/>
  <c r="AA33"/>
  <c r="Z33"/>
  <c r="Y33"/>
  <c r="X33"/>
  <c r="W33"/>
  <c r="V33"/>
  <c r="U33"/>
  <c r="T33"/>
  <c r="P33"/>
  <c r="S33" s="1"/>
  <c r="N33"/>
  <c r="BD33" s="1"/>
  <c r="BE33" s="1"/>
  <c r="I33"/>
  <c r="AJ32"/>
  <c r="AH32"/>
  <c r="AF32"/>
  <c r="AD32"/>
  <c r="AC32"/>
  <c r="AA32"/>
  <c r="Z32"/>
  <c r="Y32"/>
  <c r="X32"/>
  <c r="W32"/>
  <c r="V32"/>
  <c r="U32"/>
  <c r="T32"/>
  <c r="P32"/>
  <c r="S32" s="1"/>
  <c r="N32"/>
  <c r="BD32" s="1"/>
  <c r="BE32" s="1"/>
  <c r="I32"/>
  <c r="AJ31"/>
  <c r="AH31"/>
  <c r="AF31"/>
  <c r="AD31"/>
  <c r="AC31"/>
  <c r="AA31"/>
  <c r="Z31"/>
  <c r="Y31"/>
  <c r="X31"/>
  <c r="W31"/>
  <c r="V31"/>
  <c r="U31"/>
  <c r="T31"/>
  <c r="P31"/>
  <c r="S31" s="1"/>
  <c r="N31"/>
  <c r="BD31" s="1"/>
  <c r="BE31" s="1"/>
  <c r="I31"/>
  <c r="AJ30"/>
  <c r="AH30"/>
  <c r="AF30"/>
  <c r="AD30"/>
  <c r="AC30"/>
  <c r="AA30"/>
  <c r="Z30"/>
  <c r="Y30"/>
  <c r="X30"/>
  <c r="W30"/>
  <c r="V30"/>
  <c r="U30"/>
  <c r="T30"/>
  <c r="P30"/>
  <c r="S30" s="1"/>
  <c r="N30"/>
  <c r="BD30" s="1"/>
  <c r="BE30" s="1"/>
  <c r="I30"/>
  <c r="AJ29"/>
  <c r="AH29"/>
  <c r="AF29"/>
  <c r="AD29"/>
  <c r="AC29"/>
  <c r="AA29"/>
  <c r="Z29"/>
  <c r="Y29"/>
  <c r="X29"/>
  <c r="W29"/>
  <c r="V29"/>
  <c r="U29"/>
  <c r="T29"/>
  <c r="P29"/>
  <c r="S29" s="1"/>
  <c r="N29"/>
  <c r="BD29" s="1"/>
  <c r="BE29" s="1"/>
  <c r="I29"/>
  <c r="AJ28"/>
  <c r="AH28"/>
  <c r="AF28"/>
  <c r="AD28"/>
  <c r="AC28"/>
  <c r="AA28"/>
  <c r="Z28"/>
  <c r="Y28"/>
  <c r="X28"/>
  <c r="W28"/>
  <c r="V28"/>
  <c r="U28"/>
  <c r="T28"/>
  <c r="P28"/>
  <c r="S28" s="1"/>
  <c r="N28"/>
  <c r="BD28" s="1"/>
  <c r="I28"/>
  <c r="AJ27"/>
  <c r="AH27"/>
  <c r="AF27"/>
  <c r="AD27"/>
  <c r="AC27"/>
  <c r="AA27"/>
  <c r="Z27"/>
  <c r="Y27"/>
  <c r="X27"/>
  <c r="W27"/>
  <c r="V27"/>
  <c r="U27"/>
  <c r="T27"/>
  <c r="P27"/>
  <c r="S27" s="1"/>
  <c r="N27"/>
  <c r="BD27" s="1"/>
  <c r="I27"/>
  <c r="AJ26"/>
  <c r="AH26"/>
  <c r="AF26"/>
  <c r="AD26"/>
  <c r="AC26"/>
  <c r="AA26"/>
  <c r="Z26"/>
  <c r="Y26"/>
  <c r="X26"/>
  <c r="W26"/>
  <c r="V26"/>
  <c r="U26"/>
  <c r="T26"/>
  <c r="P26"/>
  <c r="S26" s="1"/>
  <c r="N26"/>
  <c r="BD26" s="1"/>
  <c r="I26"/>
  <c r="AJ25"/>
  <c r="AH25"/>
  <c r="AF25"/>
  <c r="AD25"/>
  <c r="AC25"/>
  <c r="AA25"/>
  <c r="Z25"/>
  <c r="Y25"/>
  <c r="X25"/>
  <c r="W25"/>
  <c r="V25"/>
  <c r="U25"/>
  <c r="T25"/>
  <c r="P25"/>
  <c r="S25" s="1"/>
  <c r="N25"/>
  <c r="BD25" s="1"/>
  <c r="I25"/>
  <c r="AJ24"/>
  <c r="AH24"/>
  <c r="AF24"/>
  <c r="AD24"/>
  <c r="AC24"/>
  <c r="AA24"/>
  <c r="Z24"/>
  <c r="Y24"/>
  <c r="X24"/>
  <c r="W24"/>
  <c r="V24"/>
  <c r="U24"/>
  <c r="T24"/>
  <c r="P24"/>
  <c r="S24" s="1"/>
  <c r="N24"/>
  <c r="BD24" s="1"/>
  <c r="I24"/>
  <c r="AJ23"/>
  <c r="AH23"/>
  <c r="AF23"/>
  <c r="AD23"/>
  <c r="AC23"/>
  <c r="AA23"/>
  <c r="Z23"/>
  <c r="Y23"/>
  <c r="X23"/>
  <c r="W23"/>
  <c r="V23"/>
  <c r="U23"/>
  <c r="T23"/>
  <c r="P23"/>
  <c r="S23" s="1"/>
  <c r="N23"/>
  <c r="BD23" s="1"/>
  <c r="BE23" s="1"/>
  <c r="I23"/>
  <c r="AJ22"/>
  <c r="AH22"/>
  <c r="AF22"/>
  <c r="AD22"/>
  <c r="AC22"/>
  <c r="AA22"/>
  <c r="Z22"/>
  <c r="Y22"/>
  <c r="X22"/>
  <c r="W22"/>
  <c r="V22"/>
  <c r="U22"/>
  <c r="T22"/>
  <c r="P22"/>
  <c r="S22" s="1"/>
  <c r="N22"/>
  <c r="BD22" s="1"/>
  <c r="BE22" s="1"/>
  <c r="I22"/>
  <c r="AJ21"/>
  <c r="AH21"/>
  <c r="AT21"/>
  <c r="AF21"/>
  <c r="AD21"/>
  <c r="AC21"/>
  <c r="AA21"/>
  <c r="Z21"/>
  <c r="Y21"/>
  <c r="X21"/>
  <c r="W21"/>
  <c r="V21"/>
  <c r="U21"/>
  <c r="T21"/>
  <c r="P21"/>
  <c r="S21" s="1"/>
  <c r="N21"/>
  <c r="BD21" s="1"/>
  <c r="I21"/>
  <c r="AJ20"/>
  <c r="AH20"/>
  <c r="AF20"/>
  <c r="AD20"/>
  <c r="AC20"/>
  <c r="AA20"/>
  <c r="Z20"/>
  <c r="Y20"/>
  <c r="X20"/>
  <c r="W20"/>
  <c r="V20"/>
  <c r="U20"/>
  <c r="T20"/>
  <c r="P20"/>
  <c r="S20" s="1"/>
  <c r="N20"/>
  <c r="BD20" s="1"/>
  <c r="I20"/>
  <c r="AJ19"/>
  <c r="AH19"/>
  <c r="AF19"/>
  <c r="AD19"/>
  <c r="AC19"/>
  <c r="AA19"/>
  <c r="Z19"/>
  <c r="Y19"/>
  <c r="X19"/>
  <c r="W19"/>
  <c r="V19"/>
  <c r="U19"/>
  <c r="T19"/>
  <c r="P19"/>
  <c r="S19" s="1"/>
  <c r="N19"/>
  <c r="BD19" s="1"/>
  <c r="I19"/>
  <c r="AJ18"/>
  <c r="AH18"/>
  <c r="AF18"/>
  <c r="AD18"/>
  <c r="AC18"/>
  <c r="AA18"/>
  <c r="Z18"/>
  <c r="Y18"/>
  <c r="X18"/>
  <c r="W18"/>
  <c r="V18"/>
  <c r="U18"/>
  <c r="T18"/>
  <c r="P18"/>
  <c r="S18" s="1"/>
  <c r="N18"/>
  <c r="BD18" s="1"/>
  <c r="I18"/>
  <c r="AJ17"/>
  <c r="AH17"/>
  <c r="AF17"/>
  <c r="AD17"/>
  <c r="AC17"/>
  <c r="AA17"/>
  <c r="Z17"/>
  <c r="Y17"/>
  <c r="X17"/>
  <c r="W17"/>
  <c r="V17"/>
  <c r="U17"/>
  <c r="T17"/>
  <c r="P17"/>
  <c r="S17" s="1"/>
  <c r="I17"/>
  <c r="AJ16"/>
  <c r="AH16"/>
  <c r="AF16"/>
  <c r="AD16"/>
  <c r="AC16"/>
  <c r="AA16"/>
  <c r="Z16"/>
  <c r="Y16"/>
  <c r="X16"/>
  <c r="W16"/>
  <c r="V16"/>
  <c r="U16"/>
  <c r="T16"/>
  <c r="P16"/>
  <c r="S16" s="1"/>
  <c r="N16"/>
  <c r="BD16" s="1"/>
  <c r="BE16" s="1"/>
  <c r="I16"/>
  <c r="AJ15"/>
  <c r="AH15"/>
  <c r="AF15"/>
  <c r="AD15"/>
  <c r="AC15"/>
  <c r="AA15"/>
  <c r="Z15"/>
  <c r="Y15"/>
  <c r="X15"/>
  <c r="W15"/>
  <c r="V15"/>
  <c r="U15"/>
  <c r="T15"/>
  <c r="P15"/>
  <c r="S15" s="1"/>
  <c r="N15"/>
  <c r="BD15" s="1"/>
  <c r="BE15" s="1"/>
  <c r="I15"/>
  <c r="AJ14"/>
  <c r="AH14"/>
  <c r="AF14"/>
  <c r="AD14"/>
  <c r="AC14"/>
  <c r="AA14"/>
  <c r="Z14"/>
  <c r="Y14"/>
  <c r="X14"/>
  <c r="W14"/>
  <c r="V14"/>
  <c r="U14"/>
  <c r="T14"/>
  <c r="P14"/>
  <c r="S14" s="1"/>
  <c r="N14"/>
  <c r="BD14" s="1"/>
  <c r="I14"/>
  <c r="AJ13"/>
  <c r="AH13"/>
  <c r="AF13"/>
  <c r="AD13"/>
  <c r="AC13"/>
  <c r="AA13"/>
  <c r="Z13"/>
  <c r="Y13"/>
  <c r="X13"/>
  <c r="W13"/>
  <c r="V13"/>
  <c r="U13"/>
  <c r="T13"/>
  <c r="P13"/>
  <c r="S13" s="1"/>
  <c r="N13"/>
  <c r="I13"/>
  <c r="AJ12"/>
  <c r="AH12"/>
  <c r="AF12"/>
  <c r="AD12"/>
  <c r="AC12"/>
  <c r="AA12"/>
  <c r="Z12"/>
  <c r="Y12"/>
  <c r="X12"/>
  <c r="W12"/>
  <c r="V12"/>
  <c r="U12"/>
  <c r="T12"/>
  <c r="P12"/>
  <c r="S12" s="1"/>
  <c r="N12"/>
  <c r="BD12" s="1"/>
  <c r="I12"/>
  <c r="AJ11"/>
  <c r="AH11"/>
  <c r="AF11"/>
  <c r="AD11"/>
  <c r="AC11"/>
  <c r="AA11"/>
  <c r="Z11"/>
  <c r="Y11"/>
  <c r="X11"/>
  <c r="W11"/>
  <c r="V11"/>
  <c r="U11"/>
  <c r="T11"/>
  <c r="P11"/>
  <c r="S11" s="1"/>
  <c r="N11"/>
  <c r="BD11" s="1"/>
  <c r="I11"/>
  <c r="AJ10"/>
  <c r="AH10"/>
  <c r="AF10"/>
  <c r="AD10"/>
  <c r="AC10"/>
  <c r="AA10"/>
  <c r="Z10"/>
  <c r="Y10"/>
  <c r="X10"/>
  <c r="W10"/>
  <c r="V10"/>
  <c r="U10"/>
  <c r="T10"/>
  <c r="P10"/>
  <c r="S10" s="1"/>
  <c r="N10"/>
  <c r="BD10" s="1"/>
  <c r="I10"/>
  <c r="AJ9"/>
  <c r="AH9"/>
  <c r="AF9"/>
  <c r="AD9"/>
  <c r="AC9"/>
  <c r="AA9"/>
  <c r="Z9"/>
  <c r="Y9"/>
  <c r="X9"/>
  <c r="W9"/>
  <c r="V9"/>
  <c r="U9"/>
  <c r="T9"/>
  <c r="P9"/>
  <c r="N9"/>
  <c r="BD9" s="1"/>
  <c r="I9"/>
  <c r="BP78" i="6"/>
  <c r="BP76"/>
  <c r="R72" i="7"/>
  <c r="Q72"/>
  <c r="P72"/>
  <c r="O72"/>
  <c r="N72"/>
  <c r="M72"/>
  <c r="L72"/>
  <c r="K72"/>
  <c r="J72"/>
  <c r="R60"/>
  <c r="R74" s="1"/>
  <c r="Q60"/>
  <c r="P60"/>
  <c r="O60"/>
  <c r="N60"/>
  <c r="M60"/>
  <c r="L60"/>
  <c r="K60"/>
  <c r="J60"/>
  <c r="J74" s="1"/>
  <c r="Z72"/>
  <c r="Z60"/>
  <c r="AH70" i="6"/>
  <c r="AH69"/>
  <c r="AH68"/>
  <c r="AH67"/>
  <c r="AH66"/>
  <c r="AH65"/>
  <c r="AH64"/>
  <c r="AH63"/>
  <c r="AH62"/>
  <c r="AH58"/>
  <c r="AH57"/>
  <c r="AH56"/>
  <c r="AH55"/>
  <c r="AH54"/>
  <c r="AH53"/>
  <c r="AH52"/>
  <c r="AH51"/>
  <c r="AH50"/>
  <c r="AH49"/>
  <c r="AH48"/>
  <c r="AH47"/>
  <c r="AH46"/>
  <c r="AH45"/>
  <c r="AH44"/>
  <c r="AH43"/>
  <c r="AH42"/>
  <c r="AH41"/>
  <c r="AH40"/>
  <c r="AH39"/>
  <c r="AH38"/>
  <c r="AH37"/>
  <c r="AH36"/>
  <c r="AH35"/>
  <c r="AH34"/>
  <c r="AH33"/>
  <c r="AH32"/>
  <c r="AH31"/>
  <c r="AH30"/>
  <c r="AH29"/>
  <c r="AH28"/>
  <c r="AH27"/>
  <c r="AH26"/>
  <c r="AH25"/>
  <c r="AH24"/>
  <c r="AH23"/>
  <c r="AH22"/>
  <c r="AH21"/>
  <c r="AH20"/>
  <c r="AH19"/>
  <c r="AH18"/>
  <c r="AH17"/>
  <c r="AH16"/>
  <c r="AH15"/>
  <c r="AH14"/>
  <c r="AH13"/>
  <c r="AH12"/>
  <c r="AH11"/>
  <c r="AH10"/>
  <c r="AH9"/>
  <c r="Y72" i="7"/>
  <c r="Y60"/>
  <c r="G74" i="8"/>
  <c r="K74"/>
  <c r="L74"/>
  <c r="AJ70" i="6"/>
  <c r="AJ69"/>
  <c r="AJ68"/>
  <c r="AJ67"/>
  <c r="AJ66"/>
  <c r="AJ65"/>
  <c r="AJ64"/>
  <c r="AJ63"/>
  <c r="AJ62"/>
  <c r="AJ58"/>
  <c r="AJ57"/>
  <c r="AJ56"/>
  <c r="AJ55"/>
  <c r="AJ54"/>
  <c r="AJ53"/>
  <c r="AJ52"/>
  <c r="AJ51"/>
  <c r="AJ50"/>
  <c r="AJ49"/>
  <c r="AJ48"/>
  <c r="AJ47"/>
  <c r="AJ46"/>
  <c r="AJ45"/>
  <c r="AJ44"/>
  <c r="AJ43"/>
  <c r="AJ42"/>
  <c r="AJ41"/>
  <c r="AJ40"/>
  <c r="AJ39"/>
  <c r="AJ38"/>
  <c r="AJ37"/>
  <c r="AJ36"/>
  <c r="AJ35"/>
  <c r="AJ33"/>
  <c r="AJ32"/>
  <c r="AJ31"/>
  <c r="AJ30"/>
  <c r="AJ29"/>
  <c r="AJ28"/>
  <c r="AJ27"/>
  <c r="AJ26"/>
  <c r="AJ25"/>
  <c r="AJ24"/>
  <c r="AJ23"/>
  <c r="AJ22"/>
  <c r="AJ21"/>
  <c r="AJ20"/>
  <c r="AJ19"/>
  <c r="AJ18"/>
  <c r="AJ17"/>
  <c r="AJ16"/>
  <c r="AJ15"/>
  <c r="AJ14"/>
  <c r="AJ13"/>
  <c r="AJ12"/>
  <c r="AJ11"/>
  <c r="AJ10"/>
  <c r="AJ9"/>
  <c r="AJ34"/>
  <c r="AF63"/>
  <c r="AF64"/>
  <c r="AF65"/>
  <c r="AF66"/>
  <c r="AF67"/>
  <c r="AF68"/>
  <c r="AF69"/>
  <c r="AF70"/>
  <c r="AF62"/>
  <c r="AF58"/>
  <c r="AF57"/>
  <c r="AF56"/>
  <c r="AF55"/>
  <c r="AF54"/>
  <c r="AF53"/>
  <c r="AF52"/>
  <c r="AF51"/>
  <c r="AF50"/>
  <c r="AF49"/>
  <c r="AF48"/>
  <c r="AF47"/>
  <c r="AF46"/>
  <c r="AF45"/>
  <c r="AF44"/>
  <c r="AF43"/>
  <c r="AF42"/>
  <c r="AF41"/>
  <c r="AF40"/>
  <c r="AF39"/>
  <c r="AF38"/>
  <c r="AF37"/>
  <c r="AF36"/>
  <c r="AF35"/>
  <c r="AF34"/>
  <c r="AF33"/>
  <c r="AF32"/>
  <c r="AF31"/>
  <c r="AF30"/>
  <c r="AF29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D70"/>
  <c r="AC70"/>
  <c r="AD69"/>
  <c r="AC69"/>
  <c r="AD68"/>
  <c r="AC68"/>
  <c r="AD67"/>
  <c r="AC67"/>
  <c r="AD66"/>
  <c r="AC66"/>
  <c r="AD65"/>
  <c r="AC65"/>
  <c r="AD64"/>
  <c r="AC64"/>
  <c r="AD63"/>
  <c r="AC63"/>
  <c r="AD62"/>
  <c r="AC62"/>
  <c r="AD58"/>
  <c r="AC58"/>
  <c r="AD57"/>
  <c r="AC57"/>
  <c r="AD56"/>
  <c r="AC56"/>
  <c r="AD55"/>
  <c r="AC55"/>
  <c r="AD54"/>
  <c r="AC54"/>
  <c r="AD53"/>
  <c r="AC53"/>
  <c r="AD52"/>
  <c r="AC52"/>
  <c r="AD51"/>
  <c r="AC51"/>
  <c r="AD50"/>
  <c r="AC50"/>
  <c r="AD49"/>
  <c r="AC49"/>
  <c r="AD48"/>
  <c r="AC48"/>
  <c r="AD47"/>
  <c r="AC47"/>
  <c r="AD46"/>
  <c r="AC46"/>
  <c r="AD45"/>
  <c r="AC45"/>
  <c r="AD44"/>
  <c r="AC44"/>
  <c r="AD43"/>
  <c r="AC43"/>
  <c r="AD42"/>
  <c r="AC42"/>
  <c r="AD41"/>
  <c r="AC41"/>
  <c r="AD40"/>
  <c r="AC40"/>
  <c r="AD39"/>
  <c r="AC39"/>
  <c r="AD38"/>
  <c r="AC38"/>
  <c r="AD37"/>
  <c r="AC37"/>
  <c r="AD36"/>
  <c r="AC36"/>
  <c r="AD35"/>
  <c r="AC35"/>
  <c r="AD34"/>
  <c r="AC34"/>
  <c r="AD33"/>
  <c r="AC33"/>
  <c r="AD32"/>
  <c r="AC32"/>
  <c r="AD31"/>
  <c r="AC31"/>
  <c r="AD30"/>
  <c r="AC30"/>
  <c r="AD29"/>
  <c r="AC29"/>
  <c r="AD28"/>
  <c r="AC28"/>
  <c r="AD27"/>
  <c r="AC27"/>
  <c r="AD26"/>
  <c r="AC26"/>
  <c r="AD25"/>
  <c r="AC25"/>
  <c r="AD24"/>
  <c r="AC24"/>
  <c r="AD23"/>
  <c r="AC23"/>
  <c r="AD22"/>
  <c r="AC22"/>
  <c r="AD21"/>
  <c r="AC21"/>
  <c r="AD20"/>
  <c r="AC20"/>
  <c r="AD19"/>
  <c r="AC19"/>
  <c r="AD18"/>
  <c r="AC18"/>
  <c r="AD17"/>
  <c r="AC17"/>
  <c r="AD16"/>
  <c r="AC16"/>
  <c r="AD15"/>
  <c r="AC15"/>
  <c r="AD14"/>
  <c r="AC14"/>
  <c r="AD13"/>
  <c r="AC13"/>
  <c r="AD12"/>
  <c r="AC12"/>
  <c r="AD11"/>
  <c r="AC11"/>
  <c r="AD10"/>
  <c r="AC10"/>
  <c r="AD9"/>
  <c r="AC9"/>
  <c r="AA70"/>
  <c r="Z70"/>
  <c r="Y70"/>
  <c r="X70"/>
  <c r="W70"/>
  <c r="V70"/>
  <c r="U70"/>
  <c r="T70"/>
  <c r="AA69"/>
  <c r="Z69"/>
  <c r="Y69"/>
  <c r="X69"/>
  <c r="W69"/>
  <c r="V69"/>
  <c r="U69"/>
  <c r="T69"/>
  <c r="AA68"/>
  <c r="Z68"/>
  <c r="Y68"/>
  <c r="X68"/>
  <c r="W68"/>
  <c r="V68"/>
  <c r="U68"/>
  <c r="T68"/>
  <c r="AA67"/>
  <c r="Z67"/>
  <c r="Y67"/>
  <c r="X67"/>
  <c r="W67"/>
  <c r="V67"/>
  <c r="U67"/>
  <c r="T67"/>
  <c r="AA66"/>
  <c r="Z66"/>
  <c r="Y66"/>
  <c r="X66"/>
  <c r="W66"/>
  <c r="V66"/>
  <c r="U66"/>
  <c r="T66"/>
  <c r="AA65"/>
  <c r="Z65"/>
  <c r="Y65"/>
  <c r="X65"/>
  <c r="W65"/>
  <c r="V65"/>
  <c r="U65"/>
  <c r="T65"/>
  <c r="AA64"/>
  <c r="Z64"/>
  <c r="Y64"/>
  <c r="X64"/>
  <c r="W64"/>
  <c r="V64"/>
  <c r="U64"/>
  <c r="T64"/>
  <c r="AA63"/>
  <c r="Z63"/>
  <c r="Y63"/>
  <c r="X63"/>
  <c r="W63"/>
  <c r="V63"/>
  <c r="U63"/>
  <c r="T63"/>
  <c r="AA62"/>
  <c r="Z62"/>
  <c r="Y62"/>
  <c r="X62"/>
  <c r="W62"/>
  <c r="V62"/>
  <c r="U62"/>
  <c r="T62"/>
  <c r="AA58"/>
  <c r="Z58"/>
  <c r="Y58"/>
  <c r="X58"/>
  <c r="W58"/>
  <c r="V58"/>
  <c r="U58"/>
  <c r="T58"/>
  <c r="AA57"/>
  <c r="Z57"/>
  <c r="Y57"/>
  <c r="X57"/>
  <c r="W57"/>
  <c r="V57"/>
  <c r="U57"/>
  <c r="T57"/>
  <c r="AA56"/>
  <c r="Z56"/>
  <c r="Y56"/>
  <c r="X56"/>
  <c r="W56"/>
  <c r="V56"/>
  <c r="U56"/>
  <c r="T56"/>
  <c r="AA55"/>
  <c r="Z55"/>
  <c r="Y55"/>
  <c r="X55"/>
  <c r="W55"/>
  <c r="V55"/>
  <c r="U55"/>
  <c r="T55"/>
  <c r="AA54"/>
  <c r="Z54"/>
  <c r="Y54"/>
  <c r="X54"/>
  <c r="W54"/>
  <c r="V54"/>
  <c r="U54"/>
  <c r="T54"/>
  <c r="AA53"/>
  <c r="Z53"/>
  <c r="Y53"/>
  <c r="X53"/>
  <c r="W53"/>
  <c r="V53"/>
  <c r="U53"/>
  <c r="T53"/>
  <c r="AA52"/>
  <c r="Z52"/>
  <c r="Y52"/>
  <c r="X52"/>
  <c r="W52"/>
  <c r="V52"/>
  <c r="U52"/>
  <c r="T52"/>
  <c r="AA51"/>
  <c r="Z51"/>
  <c r="Y51"/>
  <c r="X51"/>
  <c r="W51"/>
  <c r="V51"/>
  <c r="U51"/>
  <c r="T51"/>
  <c r="AA50"/>
  <c r="Z50"/>
  <c r="Y50"/>
  <c r="X50"/>
  <c r="W50"/>
  <c r="V50"/>
  <c r="U50"/>
  <c r="T50"/>
  <c r="AA49"/>
  <c r="Z49"/>
  <c r="Y49"/>
  <c r="X49"/>
  <c r="W49"/>
  <c r="V49"/>
  <c r="U49"/>
  <c r="T49"/>
  <c r="AA48"/>
  <c r="Z48"/>
  <c r="Y48"/>
  <c r="X48"/>
  <c r="W48"/>
  <c r="V48"/>
  <c r="U48"/>
  <c r="T48"/>
  <c r="AA47"/>
  <c r="Z47"/>
  <c r="Y47"/>
  <c r="X47"/>
  <c r="W47"/>
  <c r="V47"/>
  <c r="U47"/>
  <c r="T47"/>
  <c r="AA46"/>
  <c r="Z46"/>
  <c r="Y46"/>
  <c r="X46"/>
  <c r="W46"/>
  <c r="V46"/>
  <c r="U46"/>
  <c r="T46"/>
  <c r="AA45"/>
  <c r="Z45"/>
  <c r="Y45"/>
  <c r="X45"/>
  <c r="W45"/>
  <c r="V45"/>
  <c r="U45"/>
  <c r="T45"/>
  <c r="AA44"/>
  <c r="Z44"/>
  <c r="Y44"/>
  <c r="X44"/>
  <c r="W44"/>
  <c r="V44"/>
  <c r="U44"/>
  <c r="T44"/>
  <c r="AA43"/>
  <c r="Z43"/>
  <c r="Y43"/>
  <c r="X43"/>
  <c r="W43"/>
  <c r="V43"/>
  <c r="U43"/>
  <c r="T43"/>
  <c r="AA42"/>
  <c r="Z42"/>
  <c r="Y42"/>
  <c r="X42"/>
  <c r="W42"/>
  <c r="V42"/>
  <c r="U42"/>
  <c r="T42"/>
  <c r="AA41"/>
  <c r="Z41"/>
  <c r="Y41"/>
  <c r="X41"/>
  <c r="W41"/>
  <c r="V41"/>
  <c r="U41"/>
  <c r="T41"/>
  <c r="AA40"/>
  <c r="Z40"/>
  <c r="Y40"/>
  <c r="X40"/>
  <c r="W40"/>
  <c r="V40"/>
  <c r="U40"/>
  <c r="T40"/>
  <c r="AA39"/>
  <c r="Z39"/>
  <c r="Y39"/>
  <c r="X39"/>
  <c r="W39"/>
  <c r="V39"/>
  <c r="U39"/>
  <c r="T39"/>
  <c r="AA38"/>
  <c r="Z38"/>
  <c r="Y38"/>
  <c r="X38"/>
  <c r="W38"/>
  <c r="V38"/>
  <c r="U38"/>
  <c r="T38"/>
  <c r="AA37"/>
  <c r="Z37"/>
  <c r="Y37"/>
  <c r="X37"/>
  <c r="W37"/>
  <c r="V37"/>
  <c r="U37"/>
  <c r="T37"/>
  <c r="AA36"/>
  <c r="Z36"/>
  <c r="Y36"/>
  <c r="X36"/>
  <c r="W36"/>
  <c r="V36"/>
  <c r="U36"/>
  <c r="T36"/>
  <c r="AA35"/>
  <c r="Z35"/>
  <c r="Y35"/>
  <c r="X35"/>
  <c r="W35"/>
  <c r="V35"/>
  <c r="U35"/>
  <c r="T35"/>
  <c r="AA34"/>
  <c r="Z34"/>
  <c r="Y34"/>
  <c r="X34"/>
  <c r="W34"/>
  <c r="V34"/>
  <c r="U34"/>
  <c r="T34"/>
  <c r="AA33"/>
  <c r="Z33"/>
  <c r="Y33"/>
  <c r="X33"/>
  <c r="W33"/>
  <c r="V33"/>
  <c r="U33"/>
  <c r="T33"/>
  <c r="AA32"/>
  <c r="Z32"/>
  <c r="Y32"/>
  <c r="X32"/>
  <c r="W32"/>
  <c r="V32"/>
  <c r="U32"/>
  <c r="T32"/>
  <c r="AA31"/>
  <c r="Z31"/>
  <c r="Y31"/>
  <c r="X31"/>
  <c r="W31"/>
  <c r="V31"/>
  <c r="U31"/>
  <c r="T31"/>
  <c r="AA30"/>
  <c r="Z30"/>
  <c r="Y30"/>
  <c r="X30"/>
  <c r="W30"/>
  <c r="V30"/>
  <c r="U30"/>
  <c r="T30"/>
  <c r="AA29"/>
  <c r="Z29"/>
  <c r="Y29"/>
  <c r="X29"/>
  <c r="W29"/>
  <c r="V29"/>
  <c r="U29"/>
  <c r="T29"/>
  <c r="AA28"/>
  <c r="Z28"/>
  <c r="Y28"/>
  <c r="X28"/>
  <c r="W28"/>
  <c r="V28"/>
  <c r="U28"/>
  <c r="T28"/>
  <c r="AA27"/>
  <c r="Z27"/>
  <c r="Y27"/>
  <c r="X27"/>
  <c r="W27"/>
  <c r="V27"/>
  <c r="U27"/>
  <c r="T27"/>
  <c r="AA26"/>
  <c r="Z26"/>
  <c r="Y26"/>
  <c r="X26"/>
  <c r="W26"/>
  <c r="V26"/>
  <c r="U26"/>
  <c r="T26"/>
  <c r="AA25"/>
  <c r="Z25"/>
  <c r="Y25"/>
  <c r="X25"/>
  <c r="W25"/>
  <c r="V25"/>
  <c r="U25"/>
  <c r="T25"/>
  <c r="AA24"/>
  <c r="Z24"/>
  <c r="Y24"/>
  <c r="X24"/>
  <c r="W24"/>
  <c r="V24"/>
  <c r="U24"/>
  <c r="T24"/>
  <c r="AA23"/>
  <c r="Z23"/>
  <c r="Y23"/>
  <c r="X23"/>
  <c r="W23"/>
  <c r="V23"/>
  <c r="U23"/>
  <c r="T23"/>
  <c r="AA22"/>
  <c r="Z22"/>
  <c r="Y22"/>
  <c r="X22"/>
  <c r="W22"/>
  <c r="V22"/>
  <c r="U22"/>
  <c r="T22"/>
  <c r="AA21"/>
  <c r="Z21"/>
  <c r="Y21"/>
  <c r="X21"/>
  <c r="W21"/>
  <c r="V21"/>
  <c r="U21"/>
  <c r="T21"/>
  <c r="AA20"/>
  <c r="Z20"/>
  <c r="Y20"/>
  <c r="X20"/>
  <c r="W20"/>
  <c r="V20"/>
  <c r="U20"/>
  <c r="T20"/>
  <c r="AA19"/>
  <c r="Z19"/>
  <c r="Y19"/>
  <c r="X19"/>
  <c r="W19"/>
  <c r="V19"/>
  <c r="U19"/>
  <c r="T19"/>
  <c r="AA18"/>
  <c r="Z18"/>
  <c r="Y18"/>
  <c r="X18"/>
  <c r="W18"/>
  <c r="V18"/>
  <c r="U18"/>
  <c r="T18"/>
  <c r="AA17"/>
  <c r="Z17"/>
  <c r="Y17"/>
  <c r="X17"/>
  <c r="W17"/>
  <c r="V17"/>
  <c r="U17"/>
  <c r="T17"/>
  <c r="AA16"/>
  <c r="Z16"/>
  <c r="Y16"/>
  <c r="X16"/>
  <c r="W16"/>
  <c r="V16"/>
  <c r="U16"/>
  <c r="T16"/>
  <c r="AA15"/>
  <c r="Z15"/>
  <c r="Y15"/>
  <c r="X15"/>
  <c r="W15"/>
  <c r="V15"/>
  <c r="U15"/>
  <c r="T15"/>
  <c r="AA14"/>
  <c r="Z14"/>
  <c r="Y14"/>
  <c r="X14"/>
  <c r="W14"/>
  <c r="V14"/>
  <c r="U14"/>
  <c r="T14"/>
  <c r="AA13"/>
  <c r="Z13"/>
  <c r="Y13"/>
  <c r="X13"/>
  <c r="W13"/>
  <c r="V13"/>
  <c r="U13"/>
  <c r="T13"/>
  <c r="AA12"/>
  <c r="Z12"/>
  <c r="Y12"/>
  <c r="X12"/>
  <c r="W12"/>
  <c r="V12"/>
  <c r="U12"/>
  <c r="T12"/>
  <c r="AA11"/>
  <c r="Z11"/>
  <c r="Y11"/>
  <c r="X11"/>
  <c r="W11"/>
  <c r="V11"/>
  <c r="U11"/>
  <c r="T11"/>
  <c r="AA10"/>
  <c r="Z10"/>
  <c r="Y10"/>
  <c r="X10"/>
  <c r="W10"/>
  <c r="V10"/>
  <c r="U10"/>
  <c r="T10"/>
  <c r="AA9"/>
  <c r="Z9"/>
  <c r="Y9"/>
  <c r="X9"/>
  <c r="W9"/>
  <c r="V9"/>
  <c r="U9"/>
  <c r="T9"/>
  <c r="Q63"/>
  <c r="R63"/>
  <c r="Q64"/>
  <c r="R64"/>
  <c r="Q65"/>
  <c r="R65"/>
  <c r="Q66"/>
  <c r="R66"/>
  <c r="Q67"/>
  <c r="R67"/>
  <c r="Q68"/>
  <c r="R68"/>
  <c r="Q69"/>
  <c r="R69"/>
  <c r="Q70"/>
  <c r="R70"/>
  <c r="R62"/>
  <c r="Q62"/>
  <c r="P10"/>
  <c r="S10" s="1"/>
  <c r="P11"/>
  <c r="S11" s="1"/>
  <c r="P12"/>
  <c r="S12" s="1"/>
  <c r="P13"/>
  <c r="S13" s="1"/>
  <c r="P14"/>
  <c r="S14" s="1"/>
  <c r="P15"/>
  <c r="P16"/>
  <c r="S16" s="1"/>
  <c r="P17"/>
  <c r="S17" s="1"/>
  <c r="P18"/>
  <c r="S18" s="1"/>
  <c r="P19"/>
  <c r="S19" s="1"/>
  <c r="P20"/>
  <c r="S20" s="1"/>
  <c r="P21"/>
  <c r="S21" s="1"/>
  <c r="P22"/>
  <c r="S22" s="1"/>
  <c r="P23"/>
  <c r="S23" s="1"/>
  <c r="P24"/>
  <c r="S24" s="1"/>
  <c r="P25"/>
  <c r="S25" s="1"/>
  <c r="P26"/>
  <c r="S26" s="1"/>
  <c r="P27"/>
  <c r="S27" s="1"/>
  <c r="P28"/>
  <c r="S28" s="1"/>
  <c r="P29"/>
  <c r="S29" s="1"/>
  <c r="P30"/>
  <c r="S30" s="1"/>
  <c r="P31"/>
  <c r="S31" s="1"/>
  <c r="P32"/>
  <c r="S32" s="1"/>
  <c r="P33"/>
  <c r="S33" s="1"/>
  <c r="P34"/>
  <c r="S34" s="1"/>
  <c r="P35"/>
  <c r="S35" s="1"/>
  <c r="P36"/>
  <c r="S36" s="1"/>
  <c r="P37"/>
  <c r="S37" s="1"/>
  <c r="P38"/>
  <c r="S38" s="1"/>
  <c r="P39"/>
  <c r="S39" s="1"/>
  <c r="P40"/>
  <c r="S40" s="1"/>
  <c r="P41"/>
  <c r="S41" s="1"/>
  <c r="P42"/>
  <c r="S42" s="1"/>
  <c r="P43"/>
  <c r="S43" s="1"/>
  <c r="P44"/>
  <c r="S44" s="1"/>
  <c r="P45"/>
  <c r="S45" s="1"/>
  <c r="P46"/>
  <c r="S46" s="1"/>
  <c r="P47"/>
  <c r="S47" s="1"/>
  <c r="P48"/>
  <c r="S48" s="1"/>
  <c r="P49"/>
  <c r="S49" s="1"/>
  <c r="P50"/>
  <c r="S50" s="1"/>
  <c r="P51"/>
  <c r="S51" s="1"/>
  <c r="P52"/>
  <c r="S52" s="1"/>
  <c r="P53"/>
  <c r="S53" s="1"/>
  <c r="P54"/>
  <c r="S54" s="1"/>
  <c r="P55"/>
  <c r="S55" s="1"/>
  <c r="P56"/>
  <c r="S56" s="1"/>
  <c r="P57"/>
  <c r="S57" s="1"/>
  <c r="P58"/>
  <c r="S58" s="1"/>
  <c r="P9"/>
  <c r="S9" s="1"/>
  <c r="I72" i="7"/>
  <c r="I60"/>
  <c r="I74" s="1"/>
  <c r="H72"/>
  <c r="G72"/>
  <c r="F72"/>
  <c r="H60"/>
  <c r="G60"/>
  <c r="F60"/>
  <c r="R60" i="6"/>
  <c r="Q60"/>
  <c r="P72"/>
  <c r="H74" i="7"/>
  <c r="H72" i="6"/>
  <c r="T71" i="1"/>
  <c r="O71"/>
  <c r="O73" s="1"/>
  <c r="J71"/>
  <c r="K71" s="1"/>
  <c r="H71"/>
  <c r="G71"/>
  <c r="V69"/>
  <c r="W69"/>
  <c r="U69"/>
  <c r="Q69"/>
  <c r="S69" s="1"/>
  <c r="P69"/>
  <c r="L69"/>
  <c r="M69" s="1"/>
  <c r="K69"/>
  <c r="I69"/>
  <c r="V68"/>
  <c r="X68"/>
  <c r="U68"/>
  <c r="Q68"/>
  <c r="R68" s="1"/>
  <c r="P68"/>
  <c r="L68"/>
  <c r="N68" s="1"/>
  <c r="K68"/>
  <c r="I68"/>
  <c r="V67"/>
  <c r="X67" s="1"/>
  <c r="U67"/>
  <c r="Q67"/>
  <c r="R67" s="1"/>
  <c r="P67"/>
  <c r="L67"/>
  <c r="M67"/>
  <c r="K67"/>
  <c r="I67"/>
  <c r="V66"/>
  <c r="W66"/>
  <c r="U66"/>
  <c r="Q66"/>
  <c r="S66" s="1"/>
  <c r="P66"/>
  <c r="L66"/>
  <c r="M66" s="1"/>
  <c r="K66"/>
  <c r="I66"/>
  <c r="V65"/>
  <c r="W65" s="1"/>
  <c r="U65"/>
  <c r="Q65"/>
  <c r="S65" s="1"/>
  <c r="P65"/>
  <c r="L65"/>
  <c r="M65"/>
  <c r="K65"/>
  <c r="I65"/>
  <c r="V64"/>
  <c r="W64" s="1"/>
  <c r="U64"/>
  <c r="Q64"/>
  <c r="P64"/>
  <c r="L64"/>
  <c r="N64" s="1"/>
  <c r="K64"/>
  <c r="I64"/>
  <c r="V63"/>
  <c r="W63" s="1"/>
  <c r="U63"/>
  <c r="Q63"/>
  <c r="S63" s="1"/>
  <c r="P63"/>
  <c r="L63"/>
  <c r="M63" s="1"/>
  <c r="K63"/>
  <c r="I63"/>
  <c r="V62"/>
  <c r="W62" s="1"/>
  <c r="U62"/>
  <c r="Q62"/>
  <c r="S62"/>
  <c r="P62"/>
  <c r="L62"/>
  <c r="M62" s="1"/>
  <c r="K62"/>
  <c r="I62"/>
  <c r="V61"/>
  <c r="W61" s="1"/>
  <c r="U61"/>
  <c r="Q61"/>
  <c r="S61" s="1"/>
  <c r="P61"/>
  <c r="L61"/>
  <c r="K61"/>
  <c r="I61"/>
  <c r="Q57"/>
  <c r="S57" s="1"/>
  <c r="Q56"/>
  <c r="S56" s="1"/>
  <c r="Q55"/>
  <c r="R55"/>
  <c r="Q54"/>
  <c r="R54"/>
  <c r="Q53"/>
  <c r="S53" s="1"/>
  <c r="Q52"/>
  <c r="S52" s="1"/>
  <c r="Q51"/>
  <c r="R51" s="1"/>
  <c r="Q50"/>
  <c r="R50" s="1"/>
  <c r="Q49"/>
  <c r="R49" s="1"/>
  <c r="Q48"/>
  <c r="S48" s="1"/>
  <c r="Q47"/>
  <c r="R47"/>
  <c r="Q46"/>
  <c r="R46"/>
  <c r="Q45"/>
  <c r="S45" s="1"/>
  <c r="Q44"/>
  <c r="S44" s="1"/>
  <c r="Q43"/>
  <c r="R43" s="1"/>
  <c r="Q42"/>
  <c r="R42" s="1"/>
  <c r="Q41"/>
  <c r="S41" s="1"/>
  <c r="Q40"/>
  <c r="R40" s="1"/>
  <c r="Q39"/>
  <c r="S39" s="1"/>
  <c r="R39"/>
  <c r="Q38"/>
  <c r="R38"/>
  <c r="Q37"/>
  <c r="S37" s="1"/>
  <c r="Q36"/>
  <c r="S36" s="1"/>
  <c r="Q35"/>
  <c r="S35" s="1"/>
  <c r="Q34"/>
  <c r="S34" s="1"/>
  <c r="Q33"/>
  <c r="S33" s="1"/>
  <c r="Q32"/>
  <c r="R32" s="1"/>
  <c r="Q31"/>
  <c r="R31"/>
  <c r="Q30"/>
  <c r="R30"/>
  <c r="Q29"/>
  <c r="R29" s="1"/>
  <c r="Q28"/>
  <c r="S28" s="1"/>
  <c r="Q27"/>
  <c r="R27" s="1"/>
  <c r="Q26"/>
  <c r="R26" s="1"/>
  <c r="Q25"/>
  <c r="S25" s="1"/>
  <c r="Q24"/>
  <c r="R24" s="1"/>
  <c r="Q23"/>
  <c r="S23"/>
  <c r="Q22"/>
  <c r="R22"/>
  <c r="Q21"/>
  <c r="R21" s="1"/>
  <c r="Q20"/>
  <c r="S20" s="1"/>
  <c r="Q19"/>
  <c r="R19" s="1"/>
  <c r="Q18"/>
  <c r="S18" s="1"/>
  <c r="Q17"/>
  <c r="S17" s="1"/>
  <c r="Q16"/>
  <c r="R16" s="1"/>
  <c r="Q15"/>
  <c r="S15"/>
  <c r="Q14"/>
  <c r="R14"/>
  <c r="Q13"/>
  <c r="R13" s="1"/>
  <c r="Q12"/>
  <c r="R12" s="1"/>
  <c r="Q11"/>
  <c r="S11" s="1"/>
  <c r="Q10"/>
  <c r="R10" s="1"/>
  <c r="Q9"/>
  <c r="S9" s="1"/>
  <c r="Q8"/>
  <c r="S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R17"/>
  <c r="R48"/>
  <c r="R45"/>
  <c r="R25"/>
  <c r="S19"/>
  <c r="R41"/>
  <c r="R57"/>
  <c r="S10"/>
  <c r="S16"/>
  <c r="S47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K57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U59"/>
  <c r="K56"/>
  <c r="V8"/>
  <c r="W8" s="1"/>
  <c r="V24"/>
  <c r="X24" s="1"/>
  <c r="V14"/>
  <c r="V13"/>
  <c r="X13" s="1"/>
  <c r="V22"/>
  <c r="W22" s="1"/>
  <c r="V18"/>
  <c r="W18" s="1"/>
  <c r="V21"/>
  <c r="V28"/>
  <c r="W28" s="1"/>
  <c r="V35"/>
  <c r="X35"/>
  <c r="V17"/>
  <c r="W17" s="1"/>
  <c r="V37"/>
  <c r="X37" s="1"/>
  <c r="V57"/>
  <c r="W57" s="1"/>
  <c r="V41"/>
  <c r="W41" s="1"/>
  <c r="V53"/>
  <c r="W53" s="1"/>
  <c r="V15"/>
  <c r="W15" s="1"/>
  <c r="V12"/>
  <c r="W12" s="1"/>
  <c r="V56"/>
  <c r="W56" s="1"/>
  <c r="V26"/>
  <c r="W26" s="1"/>
  <c r="V36"/>
  <c r="V38"/>
  <c r="W38" s="1"/>
  <c r="V42"/>
  <c r="X42"/>
  <c r="V33"/>
  <c r="W33"/>
  <c r="V27"/>
  <c r="V51"/>
  <c r="W51" s="1"/>
  <c r="V55"/>
  <c r="W55"/>
  <c r="V23"/>
  <c r="X23" s="1"/>
  <c r="V40"/>
  <c r="W40" s="1"/>
  <c r="V11"/>
  <c r="W11" s="1"/>
  <c r="V29"/>
  <c r="W29" s="1"/>
  <c r="V52"/>
  <c r="W52" s="1"/>
  <c r="V16"/>
  <c r="V10"/>
  <c r="X10" s="1"/>
  <c r="W10"/>
  <c r="V44"/>
  <c r="W44" s="1"/>
  <c r="V49"/>
  <c r="W49" s="1"/>
  <c r="V19"/>
  <c r="V20"/>
  <c r="W20" s="1"/>
  <c r="V48"/>
  <c r="X48"/>
  <c r="V30"/>
  <c r="X30" s="1"/>
  <c r="V31"/>
  <c r="W31" s="1"/>
  <c r="V39"/>
  <c r="W39" s="1"/>
  <c r="V47"/>
  <c r="W47" s="1"/>
  <c r="V9"/>
  <c r="V25"/>
  <c r="W25" s="1"/>
  <c r="V46"/>
  <c r="V54"/>
  <c r="W54" s="1"/>
  <c r="V43"/>
  <c r="W43" s="1"/>
  <c r="V45"/>
  <c r="V50"/>
  <c r="X50" s="1"/>
  <c r="V32"/>
  <c r="W32" s="1"/>
  <c r="V34"/>
  <c r="X34" s="1"/>
  <c r="L24"/>
  <c r="N24" s="1"/>
  <c r="L14"/>
  <c r="L13"/>
  <c r="N13" s="1"/>
  <c r="L22"/>
  <c r="M22" s="1"/>
  <c r="L18"/>
  <c r="M18" s="1"/>
  <c r="L21"/>
  <c r="L28"/>
  <c r="M28" s="1"/>
  <c r="L35"/>
  <c r="N35" s="1"/>
  <c r="L17"/>
  <c r="N17" s="1"/>
  <c r="L37"/>
  <c r="M37" s="1"/>
  <c r="L57"/>
  <c r="M57" s="1"/>
  <c r="L41"/>
  <c r="N41" s="1"/>
  <c r="L53"/>
  <c r="M53" s="1"/>
  <c r="L15"/>
  <c r="N15" s="1"/>
  <c r="L12"/>
  <c r="N12" s="1"/>
  <c r="L56"/>
  <c r="N56"/>
  <c r="L26"/>
  <c r="L36"/>
  <c r="M36" s="1"/>
  <c r="L38"/>
  <c r="M38" s="1"/>
  <c r="L42"/>
  <c r="N42" s="1"/>
  <c r="L33"/>
  <c r="M33" s="1"/>
  <c r="L27"/>
  <c r="N27" s="1"/>
  <c r="L51"/>
  <c r="M51" s="1"/>
  <c r="L55"/>
  <c r="M55" s="1"/>
  <c r="L23"/>
  <c r="N23" s="1"/>
  <c r="L40"/>
  <c r="M40" s="1"/>
  <c r="L11"/>
  <c r="M11" s="1"/>
  <c r="L29"/>
  <c r="M29" s="1"/>
  <c r="L52"/>
  <c r="N52" s="1"/>
  <c r="L16"/>
  <c r="L10"/>
  <c r="M10" s="1"/>
  <c r="L44"/>
  <c r="N44" s="1"/>
  <c r="L49"/>
  <c r="N49" s="1"/>
  <c r="L19"/>
  <c r="L20"/>
  <c r="M20" s="1"/>
  <c r="L48"/>
  <c r="N48" s="1"/>
  <c r="L30"/>
  <c r="M30" s="1"/>
  <c r="L31"/>
  <c r="L39"/>
  <c r="M39" s="1"/>
  <c r="L47"/>
  <c r="N47" s="1"/>
  <c r="L9"/>
  <c r="N9" s="1"/>
  <c r="L25"/>
  <c r="M25" s="1"/>
  <c r="L46"/>
  <c r="M46" s="1"/>
  <c r="L54"/>
  <c r="M54" s="1"/>
  <c r="L43"/>
  <c r="N43" s="1"/>
  <c r="L45"/>
  <c r="L50"/>
  <c r="M50" s="1"/>
  <c r="L32"/>
  <c r="M32" s="1"/>
  <c r="L34"/>
  <c r="N34" s="1"/>
  <c r="L8"/>
  <c r="N21"/>
  <c r="M21"/>
  <c r="X39"/>
  <c r="X21"/>
  <c r="W21"/>
  <c r="N54"/>
  <c r="N18"/>
  <c r="X45"/>
  <c r="W45"/>
  <c r="X16"/>
  <c r="W16"/>
  <c r="X15"/>
  <c r="X41"/>
  <c r="N45"/>
  <c r="M45"/>
  <c r="N16"/>
  <c r="M16"/>
  <c r="M15"/>
  <c r="W50"/>
  <c r="M48"/>
  <c r="W34"/>
  <c r="X27"/>
  <c r="W27"/>
  <c r="X46"/>
  <c r="W46"/>
  <c r="N26"/>
  <c r="M26"/>
  <c r="X19"/>
  <c r="W19"/>
  <c r="X36"/>
  <c r="W36"/>
  <c r="X14"/>
  <c r="W14"/>
  <c r="N30"/>
  <c r="M31"/>
  <c r="N37"/>
  <c r="N19"/>
  <c r="M19"/>
  <c r="N14"/>
  <c r="M14"/>
  <c r="X38"/>
  <c r="M56"/>
  <c r="X33"/>
  <c r="S14"/>
  <c r="M41"/>
  <c r="R20"/>
  <c r="R23"/>
  <c r="R44"/>
  <c r="X8"/>
  <c r="S27"/>
  <c r="S43"/>
  <c r="R62"/>
  <c r="N67"/>
  <c r="I71"/>
  <c r="W42"/>
  <c r="W48"/>
  <c r="S49"/>
  <c r="R37"/>
  <c r="S55"/>
  <c r="R33"/>
  <c r="P71"/>
  <c r="S46"/>
  <c r="S38"/>
  <c r="P59"/>
  <c r="R15"/>
  <c r="X62"/>
  <c r="X66"/>
  <c r="N42" i="6"/>
  <c r="BT42" s="1"/>
  <c r="N57"/>
  <c r="BT57" s="1"/>
  <c r="BU57" s="1"/>
  <c r="N62"/>
  <c r="BT62" s="1"/>
  <c r="N20"/>
  <c r="BT20" s="1"/>
  <c r="N64"/>
  <c r="BT64" s="1"/>
  <c r="I57"/>
  <c r="I22"/>
  <c r="N30"/>
  <c r="BT30" s="1"/>
  <c r="N51"/>
  <c r="BT51" s="1"/>
  <c r="I58"/>
  <c r="I23"/>
  <c r="I38"/>
  <c r="I70"/>
  <c r="N14"/>
  <c r="BT14" s="1"/>
  <c r="BU14" s="1"/>
  <c r="N19"/>
  <c r="BT19" s="1"/>
  <c r="I55"/>
  <c r="N55"/>
  <c r="BT55" s="1"/>
  <c r="I69"/>
  <c r="N58"/>
  <c r="BT58" s="1"/>
  <c r="I17"/>
  <c r="N36"/>
  <c r="BT36" s="1"/>
  <c r="N39"/>
  <c r="BT39" s="1"/>
  <c r="BU39" s="1"/>
  <c r="I50"/>
  <c r="N38"/>
  <c r="BT38" s="1"/>
  <c r="BU38" s="1"/>
  <c r="N43"/>
  <c r="BT43" s="1"/>
  <c r="F60"/>
  <c r="F74" s="1"/>
  <c r="I31"/>
  <c r="I39"/>
  <c r="N52"/>
  <c r="BT52" s="1"/>
  <c r="I54"/>
  <c r="I36"/>
  <c r="N28"/>
  <c r="BT28" s="1"/>
  <c r="I35"/>
  <c r="I65"/>
  <c r="N25"/>
  <c r="BT25" s="1"/>
  <c r="G72"/>
  <c r="I41"/>
  <c r="F72"/>
  <c r="N56"/>
  <c r="BT56" s="1"/>
  <c r="N69"/>
  <c r="BT69" s="1"/>
  <c r="G60"/>
  <c r="N12"/>
  <c r="BT12" s="1"/>
  <c r="BU12" s="1"/>
  <c r="I13"/>
  <c r="I45"/>
  <c r="N48"/>
  <c r="BT48" s="1"/>
  <c r="N24"/>
  <c r="BT24" s="1"/>
  <c r="BU24" s="1"/>
  <c r="N32"/>
  <c r="BT32" s="1"/>
  <c r="I40"/>
  <c r="I64"/>
  <c r="N67"/>
  <c r="BT67" s="1"/>
  <c r="BU67" s="1"/>
  <c r="I19"/>
  <c r="N21"/>
  <c r="BT21" s="1"/>
  <c r="I26"/>
  <c r="I37"/>
  <c r="I44"/>
  <c r="N46"/>
  <c r="BT46" s="1"/>
  <c r="N47"/>
  <c r="BT47" s="1"/>
  <c r="I52"/>
  <c r="I53"/>
  <c r="I68"/>
  <c r="I29"/>
  <c r="I33"/>
  <c r="I43"/>
  <c r="M72"/>
  <c r="N35"/>
  <c r="BT35" s="1"/>
  <c r="BU35" s="1"/>
  <c r="I48"/>
  <c r="I56"/>
  <c r="N66"/>
  <c r="BT66" s="1"/>
  <c r="BU66" s="1"/>
  <c r="I49"/>
  <c r="N23"/>
  <c r="BT23" s="1"/>
  <c r="BU23" s="1"/>
  <c r="N27"/>
  <c r="BT27" s="1"/>
  <c r="N31"/>
  <c r="BT31" s="1"/>
  <c r="BU31" s="1"/>
  <c r="N63"/>
  <c r="BT63" s="1"/>
  <c r="N65"/>
  <c r="BT65" s="1"/>
  <c r="BU65" s="1"/>
  <c r="M60"/>
  <c r="I32"/>
  <c r="N50"/>
  <c r="BT50" s="1"/>
  <c r="BU50" s="1"/>
  <c r="N54"/>
  <c r="BT54" s="1"/>
  <c r="BU54" s="1"/>
  <c r="I67"/>
  <c r="I30"/>
  <c r="N10"/>
  <c r="I25"/>
  <c r="I15"/>
  <c r="I24"/>
  <c r="I28"/>
  <c r="N41"/>
  <c r="BT41" s="1"/>
  <c r="BU41" s="1"/>
  <c r="N45"/>
  <c r="BT45" s="1"/>
  <c r="I47"/>
  <c r="N49"/>
  <c r="BT49" s="1"/>
  <c r="BU49" s="1"/>
  <c r="N70"/>
  <c r="BT70" s="1"/>
  <c r="BU70" s="1"/>
  <c r="I34"/>
  <c r="N15"/>
  <c r="BT15" s="1"/>
  <c r="BU15" s="1"/>
  <c r="N18"/>
  <c r="BT18" s="1"/>
  <c r="I9"/>
  <c r="I27"/>
  <c r="L72"/>
  <c r="I66"/>
  <c r="N11"/>
  <c r="BT11" s="1"/>
  <c r="BU11" s="1"/>
  <c r="I12"/>
  <c r="L60"/>
  <c r="L74" s="1"/>
  <c r="H60"/>
  <c r="I10"/>
  <c r="N13"/>
  <c r="BT13" s="1"/>
  <c r="BU13" s="1"/>
  <c r="N34"/>
  <c r="BT34" s="1"/>
  <c r="BU34" s="1"/>
  <c r="N40"/>
  <c r="BT40" s="1"/>
  <c r="BU40" s="1"/>
  <c r="I51"/>
  <c r="K72"/>
  <c r="K60"/>
  <c r="I21"/>
  <c r="I20"/>
  <c r="N22"/>
  <c r="BT22" s="1"/>
  <c r="BU22" s="1"/>
  <c r="N37"/>
  <c r="BT37" s="1"/>
  <c r="I42"/>
  <c r="I46"/>
  <c r="I16"/>
  <c r="I11"/>
  <c r="I14"/>
  <c r="N16"/>
  <c r="BT16" s="1"/>
  <c r="BU16" s="1"/>
  <c r="I18"/>
  <c r="N26"/>
  <c r="BT26" s="1"/>
  <c r="BU26" s="1"/>
  <c r="N29"/>
  <c r="BT29" s="1"/>
  <c r="BU29" s="1"/>
  <c r="N33"/>
  <c r="BT33" s="1"/>
  <c r="BU33" s="1"/>
  <c r="N44"/>
  <c r="BT44" s="1"/>
  <c r="BU44" s="1"/>
  <c r="N53"/>
  <c r="BT53" s="1"/>
  <c r="BU53" s="1"/>
  <c r="I63"/>
  <c r="N68"/>
  <c r="BT68" s="1"/>
  <c r="BU68" s="1"/>
  <c r="N9"/>
  <c r="BT9" s="1"/>
  <c r="I62"/>
  <c r="W35" i="1"/>
  <c r="R36"/>
  <c r="X55"/>
  <c r="S21"/>
  <c r="U71"/>
  <c r="X9"/>
  <c r="R52"/>
  <c r="S30"/>
  <c r="W9"/>
  <c r="R28"/>
  <c r="S29"/>
  <c r="X17"/>
  <c r="N39"/>
  <c r="R56"/>
  <c r="N66"/>
  <c r="R34"/>
  <c r="X54"/>
  <c r="X25"/>
  <c r="X57"/>
  <c r="S54"/>
  <c r="N32"/>
  <c r="N10"/>
  <c r="X12"/>
  <c r="X29"/>
  <c r="X65"/>
  <c r="N40"/>
  <c r="W68"/>
  <c r="N65"/>
  <c r="S67"/>
  <c r="X69"/>
  <c r="H74" i="6" l="1"/>
  <c r="BU18"/>
  <c r="BU36"/>
  <c r="AT15"/>
  <c r="AV15" s="1"/>
  <c r="AT27"/>
  <c r="AV27" s="1"/>
  <c r="AT45"/>
  <c r="AV45" s="1"/>
  <c r="AT57"/>
  <c r="AV57" s="1"/>
  <c r="N72"/>
  <c r="X40" i="1"/>
  <c r="W67"/>
  <c r="N60" i="6"/>
  <c r="N74" s="1"/>
  <c r="BT10"/>
  <c r="BU10" s="1"/>
  <c r="BU63"/>
  <c r="BU47"/>
  <c r="I72"/>
  <c r="BU48"/>
  <c r="G74"/>
  <c r="BU52"/>
  <c r="BU43"/>
  <c r="BU55"/>
  <c r="BU51"/>
  <c r="BU64"/>
  <c r="BU42"/>
  <c r="M23" i="1"/>
  <c r="W13"/>
  <c r="M49"/>
  <c r="W37"/>
  <c r="M44"/>
  <c r="X52"/>
  <c r="M17"/>
  <c r="M27"/>
  <c r="M9"/>
  <c r="N22"/>
  <c r="S12"/>
  <c r="S50"/>
  <c r="S13"/>
  <c r="L71"/>
  <c r="R65"/>
  <c r="AT70" i="6"/>
  <c r="AV70" s="1"/>
  <c r="AT16"/>
  <c r="AV16" s="1"/>
  <c r="AT28"/>
  <c r="AV28" s="1"/>
  <c r="AT47"/>
  <c r="AV47" s="1"/>
  <c r="BE69" i="8"/>
  <c r="BU17" i="6"/>
  <c r="K59" i="1"/>
  <c r="I60" i="6"/>
  <c r="I74" s="1"/>
  <c r="BU37"/>
  <c r="BU46"/>
  <c r="BU21"/>
  <c r="BU69"/>
  <c r="BU28"/>
  <c r="BU30"/>
  <c r="BU20"/>
  <c r="M13" i="1"/>
  <c r="N36"/>
  <c r="M34"/>
  <c r="L59"/>
  <c r="M59" s="1"/>
  <c r="AF60" i="6"/>
  <c r="AT69"/>
  <c r="AV69" s="1"/>
  <c r="AT11"/>
  <c r="AV11" s="1"/>
  <c r="AT23"/>
  <c r="AV23" s="1"/>
  <c r="AT40"/>
  <c r="AV40" s="1"/>
  <c r="AT49"/>
  <c r="AV49" s="1"/>
  <c r="K74" i="7"/>
  <c r="BE19" i="8"/>
  <c r="BE20"/>
  <c r="BE21"/>
  <c r="BE63"/>
  <c r="AT64"/>
  <c r="AV64" s="1"/>
  <c r="AT67" i="6"/>
  <c r="AV67" s="1"/>
  <c r="N69" i="1"/>
  <c r="M68"/>
  <c r="M47"/>
  <c r="R18"/>
  <c r="BU9" i="6"/>
  <c r="K74"/>
  <c r="BU45"/>
  <c r="M74"/>
  <c r="BU27"/>
  <c r="BU32"/>
  <c r="BU56"/>
  <c r="BU25"/>
  <c r="BU58"/>
  <c r="BU19"/>
  <c r="BU62"/>
  <c r="S26" i="1"/>
  <c r="X43"/>
  <c r="N25"/>
  <c r="S32"/>
  <c r="Q59"/>
  <c r="R63"/>
  <c r="Q71"/>
  <c r="H73"/>
  <c r="I73" s="1"/>
  <c r="AT64" i="6"/>
  <c r="AV64" s="1"/>
  <c r="AT14"/>
  <c r="AV14" s="1"/>
  <c r="AT24"/>
  <c r="AV24" s="1"/>
  <c r="AT44"/>
  <c r="AV44" s="1"/>
  <c r="AT54"/>
  <c r="AV54" s="1"/>
  <c r="AV21" i="8"/>
  <c r="AT24"/>
  <c r="AV24" s="1"/>
  <c r="AT26"/>
  <c r="AV26" s="1"/>
  <c r="AT28"/>
  <c r="AV28" s="1"/>
  <c r="AT41"/>
  <c r="AV41" s="1"/>
  <c r="AT42"/>
  <c r="AV42" s="1"/>
  <c r="AT43"/>
  <c r="AV43" s="1"/>
  <c r="G73" i="1"/>
  <c r="P73" s="1"/>
  <c r="T73"/>
  <c r="BW56" i="9"/>
  <c r="BW57"/>
  <c r="BW58"/>
  <c r="BT72" i="6"/>
  <c r="BU72" s="1"/>
  <c r="BE24" i="8"/>
  <c r="BE25"/>
  <c r="BE26"/>
  <c r="BE27"/>
  <c r="BE28"/>
  <c r="AT47"/>
  <c r="AV47" s="1"/>
  <c r="BE62"/>
  <c r="AT45"/>
  <c r="AV45" s="1"/>
  <c r="AT66"/>
  <c r="AV66" s="1"/>
  <c r="BE66"/>
  <c r="BE9"/>
  <c r="N60"/>
  <c r="BD13"/>
  <c r="BE13" s="1"/>
  <c r="BE10"/>
  <c r="BE11"/>
  <c r="BE12"/>
  <c r="BE14"/>
  <c r="BE18"/>
  <c r="I60"/>
  <c r="AT23"/>
  <c r="AV23" s="1"/>
  <c r="AT22"/>
  <c r="AV22" s="1"/>
  <c r="AT65"/>
  <c r="AT14"/>
  <c r="AV14" s="1"/>
  <c r="AT18"/>
  <c r="AV18" s="1"/>
  <c r="BE65"/>
  <c r="AT69"/>
  <c r="AT10"/>
  <c r="AT11"/>
  <c r="AV11" s="1"/>
  <c r="AT12"/>
  <c r="AV12" s="1"/>
  <c r="BE17"/>
  <c r="N72"/>
  <c r="BD68"/>
  <c r="BE68" s="1"/>
  <c r="BE64"/>
  <c r="BE48"/>
  <c r="BE49"/>
  <c r="BE50"/>
  <c r="BE46"/>
  <c r="BE47"/>
  <c r="AT63"/>
  <c r="AV63" s="1"/>
  <c r="AT67"/>
  <c r="AV67" s="1"/>
  <c r="BE67"/>
  <c r="BE40"/>
  <c r="BE41"/>
  <c r="BE42"/>
  <c r="BE43"/>
  <c r="AT50"/>
  <c r="AV50" s="1"/>
  <c r="AT51"/>
  <c r="AV51" s="1"/>
  <c r="AT54"/>
  <c r="AV54" s="1"/>
  <c r="I72"/>
  <c r="BW62" i="9"/>
  <c r="BV69"/>
  <c r="BW69" s="1"/>
  <c r="AT69"/>
  <c r="AV69" s="1"/>
  <c r="BV68"/>
  <c r="BW68" s="1"/>
  <c r="AT68"/>
  <c r="AV68" s="1"/>
  <c r="AT67"/>
  <c r="AV67" s="1"/>
  <c r="BV67"/>
  <c r="BW67" s="1"/>
  <c r="BV70"/>
  <c r="BW70" s="1"/>
  <c r="AT70"/>
  <c r="AV70" s="1"/>
  <c r="N72"/>
  <c r="BV63"/>
  <c r="AT63"/>
  <c r="AV63" s="1"/>
  <c r="BV66"/>
  <c r="BW66" s="1"/>
  <c r="AT66"/>
  <c r="AV66" s="1"/>
  <c r="BW22"/>
  <c r="BW38"/>
  <c r="BW54"/>
  <c r="BV65"/>
  <c r="BW65" s="1"/>
  <c r="AT65"/>
  <c r="AV65" s="1"/>
  <c r="L74"/>
  <c r="BV64"/>
  <c r="BW64" s="1"/>
  <c r="AT64"/>
  <c r="AV64" s="1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Z74" i="7"/>
  <c r="V60"/>
  <c r="O74"/>
  <c r="Q74"/>
  <c r="M74"/>
  <c r="G74"/>
  <c r="V72"/>
  <c r="BL60" i="8"/>
  <c r="S62"/>
  <c r="AT55"/>
  <c r="AV55" s="1"/>
  <c r="AT44"/>
  <c r="AV44" s="1"/>
  <c r="AT50" i="6"/>
  <c r="AV50" s="1"/>
  <c r="AT18"/>
  <c r="AV18" s="1"/>
  <c r="S64" i="8"/>
  <c r="N74" i="7"/>
  <c r="U72"/>
  <c r="L74"/>
  <c r="F74"/>
  <c r="U60"/>
  <c r="Y74"/>
  <c r="P74"/>
  <c r="AT34" i="6"/>
  <c r="AV34" s="1"/>
  <c r="AT19" i="8"/>
  <c r="AV19" s="1"/>
  <c r="Y72"/>
  <c r="AT52" i="6"/>
  <c r="AV52" s="1"/>
  <c r="AT35"/>
  <c r="AV35" s="1"/>
  <c r="S67" i="8"/>
  <c r="AT20" i="6"/>
  <c r="AV20" s="1"/>
  <c r="AT32" i="8"/>
  <c r="AV32" s="1"/>
  <c r="AT37"/>
  <c r="AV37" s="1"/>
  <c r="AB57"/>
  <c r="AK57" s="1"/>
  <c r="AL57" s="1"/>
  <c r="AB65"/>
  <c r="AT36" i="6"/>
  <c r="AV36" s="1"/>
  <c r="AT38"/>
  <c r="AV38" s="1"/>
  <c r="Q72" i="8"/>
  <c r="Q74" s="1"/>
  <c r="S69"/>
  <c r="AT21" i="6"/>
  <c r="AV21" s="1"/>
  <c r="AB62" i="8"/>
  <c r="AT33"/>
  <c r="AV33" s="1"/>
  <c r="AT53" i="6"/>
  <c r="AV53" s="1"/>
  <c r="AT16" i="8"/>
  <c r="AV16" s="1"/>
  <c r="S70"/>
  <c r="AT37" i="6"/>
  <c r="AV37" s="1"/>
  <c r="AB38" i="8"/>
  <c r="AK38" s="1"/>
  <c r="AL38" s="1"/>
  <c r="AN38" s="1"/>
  <c r="AO38" s="1"/>
  <c r="AP38" s="1"/>
  <c r="AQ38" s="1"/>
  <c r="AR38" s="1"/>
  <c r="AB70"/>
  <c r="AT62" i="6"/>
  <c r="AV62" s="1"/>
  <c r="AT48"/>
  <c r="AV48" s="1"/>
  <c r="S63" i="8"/>
  <c r="AT32" i="6"/>
  <c r="AV32" s="1"/>
  <c r="AT27" i="8"/>
  <c r="AV27" s="1"/>
  <c r="AT68" i="6"/>
  <c r="AV68" s="1"/>
  <c r="AT22"/>
  <c r="AV22" s="1"/>
  <c r="AB51" i="8"/>
  <c r="AK51" s="1"/>
  <c r="AL51" s="1"/>
  <c r="AT31"/>
  <c r="AV31" s="1"/>
  <c r="AT36"/>
  <c r="AV36" s="1"/>
  <c r="AT9" i="6"/>
  <c r="AV9" s="1"/>
  <c r="AT20" i="8"/>
  <c r="AV20" s="1"/>
  <c r="AT58" i="6"/>
  <c r="AV58" s="1"/>
  <c r="AB49" i="8"/>
  <c r="AK49" s="1"/>
  <c r="AT52"/>
  <c r="AV52" s="1"/>
  <c r="AT57"/>
  <c r="AV57" s="1"/>
  <c r="AT63" i="6"/>
  <c r="AV63" s="1"/>
  <c r="S68" i="8"/>
  <c r="AT52" i="9"/>
  <c r="AV52" s="1"/>
  <c r="AB68" i="8"/>
  <c r="AT46"/>
  <c r="AV46" s="1"/>
  <c r="W72"/>
  <c r="AB64"/>
  <c r="AC60"/>
  <c r="S64" i="6"/>
  <c r="AT30" i="8"/>
  <c r="AV30" s="1"/>
  <c r="AT40"/>
  <c r="AV40" s="1"/>
  <c r="AB34"/>
  <c r="AK34" s="1"/>
  <c r="AL34" s="1"/>
  <c r="AB58"/>
  <c r="AK58" s="1"/>
  <c r="AL58" s="1"/>
  <c r="AN58" s="1"/>
  <c r="AO58" s="1"/>
  <c r="AP58" s="1"/>
  <c r="AQ58" s="1"/>
  <c r="AR58" s="1"/>
  <c r="AB43"/>
  <c r="AK43" s="1"/>
  <c r="AL43" s="1"/>
  <c r="AN43" s="1"/>
  <c r="AO43" s="1"/>
  <c r="AP43" s="1"/>
  <c r="AQ43" s="1"/>
  <c r="AR43" s="1"/>
  <c r="AT39"/>
  <c r="AV39" s="1"/>
  <c r="S66"/>
  <c r="AI72"/>
  <c r="AT9"/>
  <c r="AV9" s="1"/>
  <c r="AB13"/>
  <c r="AK13" s="1"/>
  <c r="AL13" s="1"/>
  <c r="AB22"/>
  <c r="AK22" s="1"/>
  <c r="AL22" s="1"/>
  <c r="AB28"/>
  <c r="AK28" s="1"/>
  <c r="AL28" s="1"/>
  <c r="AN28" s="1"/>
  <c r="AO28" s="1"/>
  <c r="AP28" s="1"/>
  <c r="AQ28" s="1"/>
  <c r="AR28" s="1"/>
  <c r="AT29"/>
  <c r="AV29" s="1"/>
  <c r="AB32"/>
  <c r="AK32" s="1"/>
  <c r="AL32" s="1"/>
  <c r="AB45"/>
  <c r="AK45" s="1"/>
  <c r="AF60"/>
  <c r="AT26" i="9"/>
  <c r="AV26" s="1"/>
  <c r="AT48"/>
  <c r="AV48" s="1"/>
  <c r="AT47"/>
  <c r="AV47" s="1"/>
  <c r="F74"/>
  <c r="AT27"/>
  <c r="AV27" s="1"/>
  <c r="AT43"/>
  <c r="AV43" s="1"/>
  <c r="AT53"/>
  <c r="AV53" s="1"/>
  <c r="V72"/>
  <c r="AT9"/>
  <c r="AV9" s="1"/>
  <c r="AT25"/>
  <c r="AV25" s="1"/>
  <c r="AT40"/>
  <c r="AV40" s="1"/>
  <c r="AT19"/>
  <c r="AV19" s="1"/>
  <c r="K74"/>
  <c r="AT55"/>
  <c r="AV55" s="1"/>
  <c r="G74"/>
  <c r="Y72"/>
  <c r="AT29"/>
  <c r="AV29" s="1"/>
  <c r="AB54"/>
  <c r="H74"/>
  <c r="AT38"/>
  <c r="AV38" s="1"/>
  <c r="AF72"/>
  <c r="AT37"/>
  <c r="AV37" s="1"/>
  <c r="AB30"/>
  <c r="I72"/>
  <c r="I60"/>
  <c r="AT28"/>
  <c r="AV28" s="1"/>
  <c r="AT54"/>
  <c r="AV54" s="1"/>
  <c r="AT58"/>
  <c r="AV58" s="1"/>
  <c r="AT36"/>
  <c r="AV36" s="1"/>
  <c r="AT23"/>
  <c r="AV23" s="1"/>
  <c r="AT44"/>
  <c r="AV44" s="1"/>
  <c r="AT41"/>
  <c r="AV41" s="1"/>
  <c r="AB58"/>
  <c r="AF60"/>
  <c r="AT14"/>
  <c r="AV14" s="1"/>
  <c r="AT13"/>
  <c r="AV13" s="1"/>
  <c r="AD72"/>
  <c r="AA72"/>
  <c r="CD60"/>
  <c r="AB29"/>
  <c r="AB17"/>
  <c r="AK17" s="1"/>
  <c r="AL17" s="1"/>
  <c r="R72"/>
  <c r="R74" s="1"/>
  <c r="W72"/>
  <c r="AT50"/>
  <c r="AV50" s="1"/>
  <c r="AC60"/>
  <c r="AT15"/>
  <c r="AV15" s="1"/>
  <c r="AT21"/>
  <c r="AV21" s="1"/>
  <c r="AT11"/>
  <c r="AV11" s="1"/>
  <c r="AT16"/>
  <c r="AV16" s="1"/>
  <c r="AT35"/>
  <c r="AV35" s="1"/>
  <c r="AB48"/>
  <c r="S62"/>
  <c r="Z72"/>
  <c r="AB43"/>
  <c r="AK43" s="1"/>
  <c r="AL43" s="1"/>
  <c r="AB12"/>
  <c r="AK12" s="1"/>
  <c r="AB37"/>
  <c r="AB51"/>
  <c r="AB16"/>
  <c r="AT33"/>
  <c r="AV33" s="1"/>
  <c r="AE72"/>
  <c r="AT12"/>
  <c r="AV12" s="1"/>
  <c r="AT17"/>
  <c r="AV17" s="1"/>
  <c r="AT56"/>
  <c r="AV56" s="1"/>
  <c r="AT57"/>
  <c r="AV57" s="1"/>
  <c r="AT22"/>
  <c r="AV22" s="1"/>
  <c r="AT30"/>
  <c r="AV30" s="1"/>
  <c r="AB20"/>
  <c r="AB55"/>
  <c r="AB53"/>
  <c r="AK53" s="1"/>
  <c r="AL53" s="1"/>
  <c r="AT45"/>
  <c r="AV45" s="1"/>
  <c r="T72"/>
  <c r="AT46"/>
  <c r="AV46" s="1"/>
  <c r="AT42" i="6"/>
  <c r="AV42" s="1"/>
  <c r="AT41"/>
  <c r="AV41" s="1"/>
  <c r="AT46"/>
  <c r="AV46" s="1"/>
  <c r="AT12"/>
  <c r="AV12" s="1"/>
  <c r="AT25"/>
  <c r="AV25" s="1"/>
  <c r="AT13"/>
  <c r="AV13" s="1"/>
  <c r="AT43"/>
  <c r="AV43" s="1"/>
  <c r="AT31"/>
  <c r="AV31" s="1"/>
  <c r="AT65"/>
  <c r="AV65" s="1"/>
  <c r="Z60"/>
  <c r="AT26"/>
  <c r="AV26" s="1"/>
  <c r="AT29"/>
  <c r="AV29" s="1"/>
  <c r="AT30"/>
  <c r="AV30" s="1"/>
  <c r="AT56"/>
  <c r="AV56" s="1"/>
  <c r="AB24"/>
  <c r="AK24" s="1"/>
  <c r="AL24" s="1"/>
  <c r="Z72"/>
  <c r="AJ72"/>
  <c r="AT66"/>
  <c r="AV66" s="1"/>
  <c r="AB20"/>
  <c r="AK20" s="1"/>
  <c r="AL20" s="1"/>
  <c r="AB38"/>
  <c r="AK38" s="1"/>
  <c r="AL38" s="1"/>
  <c r="AB52"/>
  <c r="AK52" s="1"/>
  <c r="AL52" s="1"/>
  <c r="AN52" s="1"/>
  <c r="AO52" s="1"/>
  <c r="AP52" s="1"/>
  <c r="AQ52" s="1"/>
  <c r="AR52" s="1"/>
  <c r="AU52" s="1"/>
  <c r="AW52" s="1"/>
  <c r="S63"/>
  <c r="S69"/>
  <c r="W72"/>
  <c r="V60"/>
  <c r="V72"/>
  <c r="AT17"/>
  <c r="AV17" s="1"/>
  <c r="AT19"/>
  <c r="AV19" s="1"/>
  <c r="AT55"/>
  <c r="AV55" s="1"/>
  <c r="T60"/>
  <c r="AE72"/>
  <c r="CB60"/>
  <c r="AT39"/>
  <c r="AV39" s="1"/>
  <c r="S65"/>
  <c r="AH72"/>
  <c r="AI72"/>
  <c r="AG60"/>
  <c r="AT51"/>
  <c r="AV51" s="1"/>
  <c r="S66"/>
  <c r="AB10"/>
  <c r="AK10" s="1"/>
  <c r="AL10" s="1"/>
  <c r="AB36"/>
  <c r="AK36" s="1"/>
  <c r="AB40"/>
  <c r="AK40" s="1"/>
  <c r="AB54"/>
  <c r="AK54" s="1"/>
  <c r="AL54" s="1"/>
  <c r="AB56"/>
  <c r="AK56" s="1"/>
  <c r="AL56" s="1"/>
  <c r="AB58"/>
  <c r="AK58" s="1"/>
  <c r="AL58" s="1"/>
  <c r="U72"/>
  <c r="AB18"/>
  <c r="AK18" s="1"/>
  <c r="AL18" s="1"/>
  <c r="AB34"/>
  <c r="AK34" s="1"/>
  <c r="AL34" s="1"/>
  <c r="AT33"/>
  <c r="AV33" s="1"/>
  <c r="AA60"/>
  <c r="AA72"/>
  <c r="AH60"/>
  <c r="Y60"/>
  <c r="Y72"/>
  <c r="AI60"/>
  <c r="Q73" i="1"/>
  <c r="R59"/>
  <c r="S59"/>
  <c r="M71"/>
  <c r="N71"/>
  <c r="N59"/>
  <c r="U73"/>
  <c r="S71"/>
  <c r="R71"/>
  <c r="N55"/>
  <c r="AT10" i="6"/>
  <c r="AV10" s="1"/>
  <c r="M12" i="1"/>
  <c r="X64"/>
  <c r="AB19" i="8"/>
  <c r="AK19" s="1"/>
  <c r="AB42"/>
  <c r="AK42" s="1"/>
  <c r="AB31" i="9"/>
  <c r="AK31" s="1"/>
  <c r="AL31" s="1"/>
  <c r="AB32"/>
  <c r="AT62"/>
  <c r="AV62" s="1"/>
  <c r="AH72"/>
  <c r="N50" i="1"/>
  <c r="X49"/>
  <c r="X18"/>
  <c r="N63"/>
  <c r="R69"/>
  <c r="S70" i="6"/>
  <c r="X11" i="1"/>
  <c r="R11"/>
  <c r="V59"/>
  <c r="R8"/>
  <c r="M43"/>
  <c r="N46"/>
  <c r="W23"/>
  <c r="S24"/>
  <c r="R53"/>
  <c r="R61"/>
  <c r="AT17" i="8"/>
  <c r="AV17" s="1"/>
  <c r="AB66"/>
  <c r="AT68"/>
  <c r="AV68" s="1"/>
  <c r="AB24" i="9"/>
  <c r="AB28"/>
  <c r="AK28" s="1"/>
  <c r="AL28" s="1"/>
  <c r="AH60"/>
  <c r="AB44"/>
  <c r="AB56"/>
  <c r="AJ60" i="8"/>
  <c r="AB25"/>
  <c r="AK25" s="1"/>
  <c r="AL25" s="1"/>
  <c r="AB54"/>
  <c r="AK54" s="1"/>
  <c r="AL54" s="1"/>
  <c r="AB63"/>
  <c r="N28" i="1"/>
  <c r="S68"/>
  <c r="N62"/>
  <c r="N8"/>
  <c r="N53"/>
  <c r="N20"/>
  <c r="X56"/>
  <c r="N61"/>
  <c r="R64"/>
  <c r="AT34" i="8"/>
  <c r="AV34" s="1"/>
  <c r="AB69"/>
  <c r="N57" i="1"/>
  <c r="X63"/>
  <c r="M8"/>
  <c r="N60" i="9"/>
  <c r="N74" s="1"/>
  <c r="AT38" i="8"/>
  <c r="AV38" s="1"/>
  <c r="AB52"/>
  <c r="AK52" s="1"/>
  <c r="AL52" s="1"/>
  <c r="J73" i="1"/>
  <c r="K73" s="1"/>
  <c r="AA60" i="9"/>
  <c r="AB11"/>
  <c r="AB18"/>
  <c r="AT32"/>
  <c r="AV32" s="1"/>
  <c r="AT49"/>
  <c r="AV49" s="1"/>
  <c r="W60" i="6"/>
  <c r="W24" i="1"/>
  <c r="M52"/>
  <c r="X28"/>
  <c r="X26"/>
  <c r="R35"/>
  <c r="M61"/>
  <c r="AF72" i="6"/>
  <c r="BL72" i="8"/>
  <c r="Z60" i="9"/>
  <c r="AB10"/>
  <c r="AB38"/>
  <c r="AC72"/>
  <c r="R66" i="1"/>
  <c r="X47"/>
  <c r="S64"/>
  <c r="M35"/>
  <c r="AG72" i="6"/>
  <c r="AJ60"/>
  <c r="X60" i="8"/>
  <c r="AB24"/>
  <c r="AK24" s="1"/>
  <c r="AL24" s="1"/>
  <c r="M64" i="1"/>
  <c r="N11"/>
  <c r="N38"/>
  <c r="X32"/>
  <c r="W30"/>
  <c r="R9"/>
  <c r="U72" i="8"/>
  <c r="AT15"/>
  <c r="AV15" s="1"/>
  <c r="AT25"/>
  <c r="AV25" s="1"/>
  <c r="Y60" i="9"/>
  <c r="AB14"/>
  <c r="AT24"/>
  <c r="AV24" s="1"/>
  <c r="AB39"/>
  <c r="AK39" s="1"/>
  <c r="AL39" s="1"/>
  <c r="U72"/>
  <c r="X53" i="1"/>
  <c r="X44"/>
  <c r="N33"/>
  <c r="AB18" i="8"/>
  <c r="AK18" s="1"/>
  <c r="AL18" s="1"/>
  <c r="AN18" s="1"/>
  <c r="AO18" s="1"/>
  <c r="AP18" s="1"/>
  <c r="AQ18" s="1"/>
  <c r="AR18" s="1"/>
  <c r="AB47"/>
  <c r="AK47" s="1"/>
  <c r="AL47" s="1"/>
  <c r="X60" i="9"/>
  <c r="AI60"/>
  <c r="CD72"/>
  <c r="N29" i="1"/>
  <c r="M42"/>
  <c r="AB22" i="6"/>
  <c r="AK22" s="1"/>
  <c r="AL22" s="1"/>
  <c r="AB26"/>
  <c r="AK26" s="1"/>
  <c r="AB42"/>
  <c r="AK42" s="1"/>
  <c r="AL42" s="1"/>
  <c r="AB50"/>
  <c r="AK50" s="1"/>
  <c r="AL50" s="1"/>
  <c r="AB69"/>
  <c r="AV10" i="8"/>
  <c r="AB31"/>
  <c r="AK31" s="1"/>
  <c r="AL31" s="1"/>
  <c r="AB39"/>
  <c r="AB48"/>
  <c r="AK48" s="1"/>
  <c r="AL48" s="1"/>
  <c r="AN48" s="1"/>
  <c r="AO48" s="1"/>
  <c r="AP48" s="1"/>
  <c r="AQ48" s="1"/>
  <c r="AR48" s="1"/>
  <c r="AT49"/>
  <c r="AV49" s="1"/>
  <c r="R72"/>
  <c r="R74" s="1"/>
  <c r="AJ72"/>
  <c r="AT70"/>
  <c r="AV70" s="1"/>
  <c r="W60" i="9"/>
  <c r="AB22"/>
  <c r="AT31"/>
  <c r="AV31" s="1"/>
  <c r="AB34"/>
  <c r="AT58" i="8"/>
  <c r="AV58" s="1"/>
  <c r="V60" i="9"/>
  <c r="AB26"/>
  <c r="X72"/>
  <c r="AJ72"/>
  <c r="AI72"/>
  <c r="V71" i="1"/>
  <c r="X61"/>
  <c r="M24"/>
  <c r="AG72" i="8"/>
  <c r="AT13"/>
  <c r="AV13" s="1"/>
  <c r="AH72"/>
  <c r="AD72"/>
  <c r="X72"/>
  <c r="S65"/>
  <c r="AK65" s="1"/>
  <c r="AT18" i="9"/>
  <c r="AV18" s="1"/>
  <c r="AT39"/>
  <c r="AV39" s="1"/>
  <c r="AB42"/>
  <c r="AB50"/>
  <c r="AT51"/>
  <c r="AV51" s="1"/>
  <c r="N51" i="1"/>
  <c r="X20"/>
  <c r="AE72" i="8"/>
  <c r="AB35"/>
  <c r="AK35" s="1"/>
  <c r="AL35" s="1"/>
  <c r="AT53"/>
  <c r="AV53" s="1"/>
  <c r="AC72"/>
  <c r="AT10" i="9"/>
  <c r="AV10" s="1"/>
  <c r="AB33"/>
  <c r="AK33" s="1"/>
  <c r="AL33" s="1"/>
  <c r="AB46"/>
  <c r="AB13" i="6"/>
  <c r="AK13" s="1"/>
  <c r="AB15"/>
  <c r="AB17"/>
  <c r="AB19"/>
  <c r="AK19" s="1"/>
  <c r="AL19" s="1"/>
  <c r="AB31"/>
  <c r="AK31" s="1"/>
  <c r="AL31" s="1"/>
  <c r="AB33"/>
  <c r="AK33" s="1"/>
  <c r="AB35"/>
  <c r="AK35" s="1"/>
  <c r="AB37"/>
  <c r="AB39"/>
  <c r="AK39" s="1"/>
  <c r="AB53"/>
  <c r="AK53" s="1"/>
  <c r="AL53" s="1"/>
  <c r="AB55"/>
  <c r="AK55" s="1"/>
  <c r="AL55" s="1"/>
  <c r="AB57"/>
  <c r="AK57" s="1"/>
  <c r="X72"/>
  <c r="AB64"/>
  <c r="AB66"/>
  <c r="AB11" i="8"/>
  <c r="AK11" s="1"/>
  <c r="AL11" s="1"/>
  <c r="AB30"/>
  <c r="AK30" s="1"/>
  <c r="AL30" s="1"/>
  <c r="AT48"/>
  <c r="AV48" s="1"/>
  <c r="AB25" i="9"/>
  <c r="AT34"/>
  <c r="AV34" s="1"/>
  <c r="AV65" i="8"/>
  <c r="AV69"/>
  <c r="X22" i="1"/>
  <c r="AH60" i="8"/>
  <c r="AT35"/>
  <c r="AV35" s="1"/>
  <c r="AB52" i="9"/>
  <c r="U60" i="6"/>
  <c r="AB14" i="8"/>
  <c r="AK14" s="1"/>
  <c r="AB16"/>
  <c r="AK16" s="1"/>
  <c r="AL16" s="1"/>
  <c r="AB21"/>
  <c r="AK21" s="1"/>
  <c r="AL21" s="1"/>
  <c r="AB29"/>
  <c r="AB46"/>
  <c r="AK46" s="1"/>
  <c r="AT56"/>
  <c r="AV56" s="1"/>
  <c r="AT42" i="9"/>
  <c r="AV42" s="1"/>
  <c r="AB49"/>
  <c r="P60" i="6"/>
  <c r="P74" s="1"/>
  <c r="S15"/>
  <c r="S60" s="1"/>
  <c r="S68"/>
  <c r="AC60"/>
  <c r="AD60"/>
  <c r="AB9"/>
  <c r="X60"/>
  <c r="AD72"/>
  <c r="AB21"/>
  <c r="AB23"/>
  <c r="AK23" s="1"/>
  <c r="AB25"/>
  <c r="AK25" s="1"/>
  <c r="AL25" s="1"/>
  <c r="AB29"/>
  <c r="AB41"/>
  <c r="AB45"/>
  <c r="AK45" s="1"/>
  <c r="AB47"/>
  <c r="AB49"/>
  <c r="AK49" s="1"/>
  <c r="AB51"/>
  <c r="AK51" s="1"/>
  <c r="AB68"/>
  <c r="AB70"/>
  <c r="AG72" i="9"/>
  <c r="AD60" i="8"/>
  <c r="AB15"/>
  <c r="AB20"/>
  <c r="AK20" s="1"/>
  <c r="AL20" s="1"/>
  <c r="AB33"/>
  <c r="AB37"/>
  <c r="AB41" i="9"/>
  <c r="AB45"/>
  <c r="AB62" i="6"/>
  <c r="T72"/>
  <c r="AB11"/>
  <c r="AB27"/>
  <c r="AK27" s="1"/>
  <c r="AB43"/>
  <c r="AA60" i="8"/>
  <c r="AB53"/>
  <c r="AK53" s="1"/>
  <c r="AB57" i="9"/>
  <c r="Q72" i="6"/>
  <c r="Q74" s="1"/>
  <c r="S62"/>
  <c r="AB10" i="8"/>
  <c r="AK10" s="1"/>
  <c r="U60"/>
  <c r="AB13" i="9"/>
  <c r="T60"/>
  <c r="Q72"/>
  <c r="Q74" s="1"/>
  <c r="R72" i="6"/>
  <c r="R74" s="1"/>
  <c r="AC72"/>
  <c r="Y60" i="8"/>
  <c r="AB41"/>
  <c r="AK41" s="1"/>
  <c r="AB36"/>
  <c r="AB21" i="9"/>
  <c r="W60" i="8"/>
  <c r="AB23"/>
  <c r="AB56"/>
  <c r="AK56" s="1"/>
  <c r="AB36" i="9"/>
  <c r="AB40"/>
  <c r="AB9" i="8"/>
  <c r="V60"/>
  <c r="AF72"/>
  <c r="AT62"/>
  <c r="AI60"/>
  <c r="AB40"/>
  <c r="V72"/>
  <c r="U60" i="9"/>
  <c r="AB27" i="8"/>
  <c r="AB44"/>
  <c r="Z72"/>
  <c r="AE60" i="6"/>
  <c r="AG60" i="8"/>
  <c r="S9"/>
  <c r="P60"/>
  <c r="P74" s="1"/>
  <c r="AB12" i="6"/>
  <c r="AB14"/>
  <c r="AB16"/>
  <c r="AK16" s="1"/>
  <c r="AB28"/>
  <c r="AK28" s="1"/>
  <c r="AB30"/>
  <c r="AB32"/>
  <c r="AK32" s="1"/>
  <c r="AB44"/>
  <c r="AK44" s="1"/>
  <c r="AB46"/>
  <c r="AK46" s="1"/>
  <c r="AB48"/>
  <c r="AK48" s="1"/>
  <c r="AB63"/>
  <c r="AB65"/>
  <c r="AB67"/>
  <c r="T60" i="8"/>
  <c r="AB47" i="9"/>
  <c r="AK47" s="1"/>
  <c r="S67" i="6"/>
  <c r="AB9" i="9"/>
  <c r="Z60" i="8"/>
  <c r="AB26"/>
  <c r="AK26" s="1"/>
  <c r="AA72"/>
  <c r="CB72" i="6"/>
  <c r="AB15" i="9"/>
  <c r="AB19"/>
  <c r="AB27"/>
  <c r="AB35"/>
  <c r="T72" i="8"/>
  <c r="AB67"/>
  <c r="AT20" i="9"/>
  <c r="AV20" s="1"/>
  <c r="AG60"/>
  <c r="AB12" i="8"/>
  <c r="AB17"/>
  <c r="AK17" s="1"/>
  <c r="AB50"/>
  <c r="AB55"/>
  <c r="AK55" s="1"/>
  <c r="AD60" i="9"/>
  <c r="AJ60"/>
  <c r="AB23"/>
  <c r="AB62"/>
  <c r="P60"/>
  <c r="P74" s="1"/>
  <c r="AK20" l="1"/>
  <c r="AL20" s="1"/>
  <c r="AN20" s="1"/>
  <c r="AO20" s="1"/>
  <c r="AP20" s="1"/>
  <c r="AQ20" s="1"/>
  <c r="AR20" s="1"/>
  <c r="AK55"/>
  <c r="AL55" s="1"/>
  <c r="AN55" s="1"/>
  <c r="AO55" s="1"/>
  <c r="AP55" s="1"/>
  <c r="AQ55" s="1"/>
  <c r="AR55" s="1"/>
  <c r="AK70" i="8"/>
  <c r="AK44" i="9"/>
  <c r="AL44" s="1"/>
  <c r="AN44" s="1"/>
  <c r="AO44" s="1"/>
  <c r="AP44" s="1"/>
  <c r="AQ44" s="1"/>
  <c r="AK68" i="8"/>
  <c r="AL68" s="1"/>
  <c r="AN68" s="1"/>
  <c r="AO68" s="1"/>
  <c r="AK11" i="9"/>
  <c r="AL11" s="1"/>
  <c r="AK35"/>
  <c r="AK54"/>
  <c r="AL54" s="1"/>
  <c r="AN54" s="1"/>
  <c r="AO54" s="1"/>
  <c r="AP54" s="1"/>
  <c r="AQ54" s="1"/>
  <c r="AR54" s="1"/>
  <c r="AK51"/>
  <c r="AL51" s="1"/>
  <c r="AN51" s="1"/>
  <c r="AO51" s="1"/>
  <c r="AP51" s="1"/>
  <c r="AQ51" s="1"/>
  <c r="AR51" s="1"/>
  <c r="AK56"/>
  <c r="AL56" s="1"/>
  <c r="AN56" s="1"/>
  <c r="AO56" s="1"/>
  <c r="AP56" s="1"/>
  <c r="AQ56" s="1"/>
  <c r="AR56" s="1"/>
  <c r="AK34"/>
  <c r="AL34" s="1"/>
  <c r="AN34" s="1"/>
  <c r="AO34" s="1"/>
  <c r="AP34" s="1"/>
  <c r="AQ34" s="1"/>
  <c r="AR34" s="1"/>
  <c r="AK52"/>
  <c r="AL52" s="1"/>
  <c r="AN52" s="1"/>
  <c r="AO52" s="1"/>
  <c r="AP52" s="1"/>
  <c r="AQ52" s="1"/>
  <c r="AR52" s="1"/>
  <c r="AK22"/>
  <c r="AL22" s="1"/>
  <c r="AN22" s="1"/>
  <c r="AO22" s="1"/>
  <c r="AP22" s="1"/>
  <c r="AQ22" s="1"/>
  <c r="AR22" s="1"/>
  <c r="AK38"/>
  <c r="AL38" s="1"/>
  <c r="AN38" s="1"/>
  <c r="AO38" s="1"/>
  <c r="AP38" s="1"/>
  <c r="AQ38" s="1"/>
  <c r="AR38" s="1"/>
  <c r="AF74" i="6"/>
  <c r="AK9" i="9"/>
  <c r="AL9" s="1"/>
  <c r="AK37"/>
  <c r="AL37" s="1"/>
  <c r="AN37" s="1"/>
  <c r="AO37" s="1"/>
  <c r="AP37" s="1"/>
  <c r="AQ37" s="1"/>
  <c r="AR37" s="1"/>
  <c r="AK29"/>
  <c r="AL29" s="1"/>
  <c r="AN29" s="1"/>
  <c r="AO29" s="1"/>
  <c r="AP29" s="1"/>
  <c r="AQ29" s="1"/>
  <c r="AR29" s="1"/>
  <c r="AK21"/>
  <c r="AL21" s="1"/>
  <c r="AK13"/>
  <c r="AL13" s="1"/>
  <c r="AN13" s="1"/>
  <c r="AO13" s="1"/>
  <c r="AP13" s="1"/>
  <c r="AQ13" s="1"/>
  <c r="AR13" s="1"/>
  <c r="AK49"/>
  <c r="AL49" s="1"/>
  <c r="AN49" s="1"/>
  <c r="AO49" s="1"/>
  <c r="AP49" s="1"/>
  <c r="AQ49" s="1"/>
  <c r="AR49" s="1"/>
  <c r="L73" i="1"/>
  <c r="BD60" i="8"/>
  <c r="BE60" s="1"/>
  <c r="AK57" i="9"/>
  <c r="AL57" s="1"/>
  <c r="AK25"/>
  <c r="AL25" s="1"/>
  <c r="AN25" s="1"/>
  <c r="AO25" s="1"/>
  <c r="AP25" s="1"/>
  <c r="AQ25" s="1"/>
  <c r="AR25" s="1"/>
  <c r="V74" i="6"/>
  <c r="AK62" i="8"/>
  <c r="AL62" s="1"/>
  <c r="AN62" s="1"/>
  <c r="AO62" s="1"/>
  <c r="I74"/>
  <c r="BD72"/>
  <c r="BE72" s="1"/>
  <c r="AK64"/>
  <c r="AL64" s="1"/>
  <c r="AN64" s="1"/>
  <c r="AO64" s="1"/>
  <c r="N74"/>
  <c r="AK67"/>
  <c r="AK66"/>
  <c r="AL66" s="1"/>
  <c r="AN66" s="1"/>
  <c r="AO66" s="1"/>
  <c r="AK63"/>
  <c r="AL63" s="1"/>
  <c r="AN63" s="1"/>
  <c r="AO63" s="1"/>
  <c r="AK69"/>
  <c r="AL69" s="1"/>
  <c r="AN69" s="1"/>
  <c r="AO69" s="1"/>
  <c r="AK32" i="9"/>
  <c r="AL32" s="1"/>
  <c r="AN32" s="1"/>
  <c r="AO32" s="1"/>
  <c r="AP32" s="1"/>
  <c r="AQ32" s="1"/>
  <c r="AR32" s="1"/>
  <c r="AK48"/>
  <c r="AL48" s="1"/>
  <c r="AN48" s="1"/>
  <c r="AO48" s="1"/>
  <c r="AP48" s="1"/>
  <c r="AQ48" s="1"/>
  <c r="AR48" s="1"/>
  <c r="AK46"/>
  <c r="AL46" s="1"/>
  <c r="AN46" s="1"/>
  <c r="AO46" s="1"/>
  <c r="AP46" s="1"/>
  <c r="AQ46" s="1"/>
  <c r="AR46" s="1"/>
  <c r="BV72"/>
  <c r="BW72" s="1"/>
  <c r="BW63"/>
  <c r="AK30"/>
  <c r="AL30" s="1"/>
  <c r="AN30" s="1"/>
  <c r="AO30" s="1"/>
  <c r="AP30" s="1"/>
  <c r="AQ30" s="1"/>
  <c r="AR30" s="1"/>
  <c r="AK16"/>
  <c r="AL16" s="1"/>
  <c r="AN16" s="1"/>
  <c r="AO16" s="1"/>
  <c r="AP16" s="1"/>
  <c r="AQ16" s="1"/>
  <c r="AR16" s="1"/>
  <c r="S60"/>
  <c r="AK18"/>
  <c r="AL18" s="1"/>
  <c r="AN18" s="1"/>
  <c r="AO18" s="1"/>
  <c r="AP18" s="1"/>
  <c r="AQ18" s="1"/>
  <c r="AR18" s="1"/>
  <c r="AK42"/>
  <c r="AL42" s="1"/>
  <c r="AN42" s="1"/>
  <c r="AO42" s="1"/>
  <c r="AP42" s="1"/>
  <c r="AQ42" s="1"/>
  <c r="AR42" s="1"/>
  <c r="BV60"/>
  <c r="BW60" s="1"/>
  <c r="AK50"/>
  <c r="AL50" s="1"/>
  <c r="AN50" s="1"/>
  <c r="AO50" s="1"/>
  <c r="AP50" s="1"/>
  <c r="AQ50" s="1"/>
  <c r="AR50" s="1"/>
  <c r="AK58"/>
  <c r="AL58" s="1"/>
  <c r="AN58" s="1"/>
  <c r="AO58" s="1"/>
  <c r="AP58" s="1"/>
  <c r="AQ58" s="1"/>
  <c r="AR58" s="1"/>
  <c r="AK10"/>
  <c r="AL10" s="1"/>
  <c r="AN10" s="1"/>
  <c r="AO10" s="1"/>
  <c r="AP10" s="1"/>
  <c r="AQ10" s="1"/>
  <c r="AR10" s="1"/>
  <c r="AK62"/>
  <c r="U74" i="7"/>
  <c r="V74"/>
  <c r="AL63" i="9"/>
  <c r="AN63" s="1"/>
  <c r="AO63" s="1"/>
  <c r="BL74" i="8"/>
  <c r="AD74" i="9"/>
  <c r="AI74" i="8"/>
  <c r="W74"/>
  <c r="AG74"/>
  <c r="AF74" i="9"/>
  <c r="AK70" i="6"/>
  <c r="AL70" s="1"/>
  <c r="AL39"/>
  <c r="AN39" s="1"/>
  <c r="AO39" s="1"/>
  <c r="AP39" s="1"/>
  <c r="AQ39" s="1"/>
  <c r="AR39" s="1"/>
  <c r="Y74" i="8"/>
  <c r="AX52" i="6"/>
  <c r="AY52" s="1"/>
  <c r="AZ52" s="1"/>
  <c r="AD74" i="8"/>
  <c r="AL70"/>
  <c r="AN70" s="1"/>
  <c r="AO70" s="1"/>
  <c r="AC74"/>
  <c r="AK64" i="6"/>
  <c r="AL64" s="1"/>
  <c r="AN64" s="1"/>
  <c r="AO64" s="1"/>
  <c r="AP64" s="1"/>
  <c r="AQ64" s="1"/>
  <c r="AR64" s="1"/>
  <c r="Y74" i="9"/>
  <c r="U74" i="8"/>
  <c r="AE74" i="6"/>
  <c r="S72" i="8"/>
  <c r="T74" i="6"/>
  <c r="AL14" i="8"/>
  <c r="AN14" s="1"/>
  <c r="AO14" s="1"/>
  <c r="AP14" s="1"/>
  <c r="AQ14" s="1"/>
  <c r="AR14" s="1"/>
  <c r="AF74"/>
  <c r="AH74"/>
  <c r="AL65"/>
  <c r="AN65" s="1"/>
  <c r="AO65" s="1"/>
  <c r="AL45"/>
  <c r="AN45" s="1"/>
  <c r="AO45" s="1"/>
  <c r="AP45" s="1"/>
  <c r="AQ45" s="1"/>
  <c r="AR45" s="1"/>
  <c r="Z74" i="6"/>
  <c r="AL49" i="8"/>
  <c r="AN49" s="1"/>
  <c r="AO49" s="1"/>
  <c r="AP49" s="1"/>
  <c r="AQ49" s="1"/>
  <c r="AR49" s="1"/>
  <c r="U74" i="6"/>
  <c r="AC74" i="9"/>
  <c r="AL70"/>
  <c r="AN70" s="1"/>
  <c r="AO70" s="1"/>
  <c r="V74"/>
  <c r="I74"/>
  <c r="AL12"/>
  <c r="AN12" s="1"/>
  <c r="AO12" s="1"/>
  <c r="AP12" s="1"/>
  <c r="AQ12" s="1"/>
  <c r="AR12" s="1"/>
  <c r="AL66"/>
  <c r="AN66" s="1"/>
  <c r="AO66" s="1"/>
  <c r="AA74"/>
  <c r="AL64"/>
  <c r="Z74"/>
  <c r="AL65"/>
  <c r="AN65" s="1"/>
  <c r="AO65" s="1"/>
  <c r="AJ74"/>
  <c r="AL68"/>
  <c r="AE74"/>
  <c r="T74"/>
  <c r="AI74"/>
  <c r="AH74"/>
  <c r="W74"/>
  <c r="CD74"/>
  <c r="AG74"/>
  <c r="AL69"/>
  <c r="AN69" s="1"/>
  <c r="AO69" s="1"/>
  <c r="AK14"/>
  <c r="AL14" s="1"/>
  <c r="AN14" s="1"/>
  <c r="AO14" s="1"/>
  <c r="AP14" s="1"/>
  <c r="AQ14" s="1"/>
  <c r="AR14" s="1"/>
  <c r="S72"/>
  <c r="U74"/>
  <c r="X74"/>
  <c r="AL57" i="6"/>
  <c r="AN57" s="1"/>
  <c r="AO57" s="1"/>
  <c r="AP57" s="1"/>
  <c r="AQ57" s="1"/>
  <c r="AR57" s="1"/>
  <c r="Y74"/>
  <c r="AJ74"/>
  <c r="AT72"/>
  <c r="AV72" s="1"/>
  <c r="AI74"/>
  <c r="AL26"/>
  <c r="AN26" s="1"/>
  <c r="AO26" s="1"/>
  <c r="AP26" s="1"/>
  <c r="AQ26" s="1"/>
  <c r="AR26" s="1"/>
  <c r="AK63"/>
  <c r="AL63" s="1"/>
  <c r="AG74"/>
  <c r="AK17"/>
  <c r="AL17" s="1"/>
  <c r="AN17" s="1"/>
  <c r="AO17" s="1"/>
  <c r="AP17" s="1"/>
  <c r="AQ17" s="1"/>
  <c r="AR17" s="1"/>
  <c r="CB74"/>
  <c r="AL40"/>
  <c r="AN40" s="1"/>
  <c r="AO40" s="1"/>
  <c r="AP40" s="1"/>
  <c r="AQ40" s="1"/>
  <c r="AR40" s="1"/>
  <c r="AT60"/>
  <c r="AV60" s="1"/>
  <c r="AA74"/>
  <c r="AC74"/>
  <c r="AK66"/>
  <c r="AL66" s="1"/>
  <c r="AN66" s="1"/>
  <c r="AO66" s="1"/>
  <c r="AP66" s="1"/>
  <c r="AQ66" s="1"/>
  <c r="AR66" s="1"/>
  <c r="AK69"/>
  <c r="AL69" s="1"/>
  <c r="AN69" s="1"/>
  <c r="AO69" s="1"/>
  <c r="AP69" s="1"/>
  <c r="AQ69" s="1"/>
  <c r="AR69" s="1"/>
  <c r="AD74"/>
  <c r="W74"/>
  <c r="AL36"/>
  <c r="AN36" s="1"/>
  <c r="AO36" s="1"/>
  <c r="AP36" s="1"/>
  <c r="AQ36" s="1"/>
  <c r="AL13"/>
  <c r="AN13" s="1"/>
  <c r="AO13" s="1"/>
  <c r="AP13" s="1"/>
  <c r="AQ13" s="1"/>
  <c r="AR13" s="1"/>
  <c r="AH74"/>
  <c r="X74"/>
  <c r="AT60" i="9"/>
  <c r="AV60" s="1"/>
  <c r="AK29" i="8"/>
  <c r="AL29" s="1"/>
  <c r="AN29" s="1"/>
  <c r="AO29" s="1"/>
  <c r="AP29" s="1"/>
  <c r="AQ29" s="1"/>
  <c r="AJ74"/>
  <c r="R73" i="1"/>
  <c r="S73"/>
  <c r="AT60" i="8"/>
  <c r="AV60" s="1"/>
  <c r="AL27" i="6"/>
  <c r="AN27" s="1"/>
  <c r="AO27" s="1"/>
  <c r="AP27" s="1"/>
  <c r="AQ27" s="1"/>
  <c r="AR27" s="1"/>
  <c r="V73" i="1"/>
  <c r="W59"/>
  <c r="X59"/>
  <c r="AL33" i="6"/>
  <c r="AN33" s="1"/>
  <c r="AO33" s="1"/>
  <c r="AP33" s="1"/>
  <c r="AQ33" s="1"/>
  <c r="AR33" s="1"/>
  <c r="AL35"/>
  <c r="AN35" s="1"/>
  <c r="AO35" s="1"/>
  <c r="AP35" s="1"/>
  <c r="AQ35" s="1"/>
  <c r="AR35" s="1"/>
  <c r="X74" i="8"/>
  <c r="AL19"/>
  <c r="AN19" s="1"/>
  <c r="AO19" s="1"/>
  <c r="AP19" s="1"/>
  <c r="AQ19" s="1"/>
  <c r="AR19" s="1"/>
  <c r="AA74"/>
  <c r="AK14" i="6"/>
  <c r="AL14" s="1"/>
  <c r="AN14" s="1"/>
  <c r="AO14" s="1"/>
  <c r="AP14" s="1"/>
  <c r="AQ14" s="1"/>
  <c r="AR14" s="1"/>
  <c r="AK26" i="9"/>
  <c r="AL26" s="1"/>
  <c r="AN26" s="1"/>
  <c r="AO26" s="1"/>
  <c r="AP26" s="1"/>
  <c r="AQ26" s="1"/>
  <c r="AR26" s="1"/>
  <c r="AK24"/>
  <c r="AL24" s="1"/>
  <c r="AN24" s="1"/>
  <c r="AO24" s="1"/>
  <c r="AP24" s="1"/>
  <c r="AQ24" s="1"/>
  <c r="AR24" s="1"/>
  <c r="AU24" s="1"/>
  <c r="AW24" s="1"/>
  <c r="AL44" i="6"/>
  <c r="AN44" s="1"/>
  <c r="AO44" s="1"/>
  <c r="AP44" s="1"/>
  <c r="AQ44" s="1"/>
  <c r="AR44" s="1"/>
  <c r="AL47" i="9"/>
  <c r="AN47" s="1"/>
  <c r="AO47" s="1"/>
  <c r="AP47" s="1"/>
  <c r="AQ47" s="1"/>
  <c r="AR47" s="1"/>
  <c r="AK39" i="8"/>
  <c r="AL39" s="1"/>
  <c r="AL46"/>
  <c r="AN46" s="1"/>
  <c r="AO46" s="1"/>
  <c r="AP46" s="1"/>
  <c r="AQ46" s="1"/>
  <c r="AR46" s="1"/>
  <c r="AK37" i="6"/>
  <c r="AL37" s="1"/>
  <c r="AL42" i="8"/>
  <c r="AN42" s="1"/>
  <c r="AO42" s="1"/>
  <c r="AP42" s="1"/>
  <c r="AQ42" s="1"/>
  <c r="AR42" s="1"/>
  <c r="AE74"/>
  <c r="AK30" i="6"/>
  <c r="AL30" s="1"/>
  <c r="AN30" s="1"/>
  <c r="AO30" s="1"/>
  <c r="AP30" s="1"/>
  <c r="AQ30" s="1"/>
  <c r="AR30" s="1"/>
  <c r="X71" i="1"/>
  <c r="W71"/>
  <c r="M73"/>
  <c r="N73"/>
  <c r="AN56" i="6"/>
  <c r="AO56" s="1"/>
  <c r="AP56" s="1"/>
  <c r="AQ56" s="1"/>
  <c r="AR56" s="1"/>
  <c r="AN31"/>
  <c r="AO31" s="1"/>
  <c r="AP31" s="1"/>
  <c r="AQ31" s="1"/>
  <c r="AR31" s="1"/>
  <c r="AN18"/>
  <c r="AO18" s="1"/>
  <c r="AP18" s="1"/>
  <c r="AQ18" s="1"/>
  <c r="AR18" s="1"/>
  <c r="AN16" i="8"/>
  <c r="AO16" s="1"/>
  <c r="AP16" s="1"/>
  <c r="AQ16" s="1"/>
  <c r="AR16" s="1"/>
  <c r="AN31" i="9"/>
  <c r="AO31" s="1"/>
  <c r="AP31" s="1"/>
  <c r="AQ31" s="1"/>
  <c r="AR31" s="1"/>
  <c r="AN42" i="6"/>
  <c r="AO42" s="1"/>
  <c r="AP42" s="1"/>
  <c r="AQ42" s="1"/>
  <c r="AR42" s="1"/>
  <c r="AN58"/>
  <c r="AO58" s="1"/>
  <c r="AP58" s="1"/>
  <c r="AQ58" s="1"/>
  <c r="AR58" s="1"/>
  <c r="AN43" i="9"/>
  <c r="AO43" s="1"/>
  <c r="AP43" s="1"/>
  <c r="AQ43" s="1"/>
  <c r="AR43" s="1"/>
  <c r="AN24" i="6"/>
  <c r="AO24" s="1"/>
  <c r="AP24" s="1"/>
  <c r="AQ24" s="1"/>
  <c r="AR24" s="1"/>
  <c r="BD48"/>
  <c r="BE48" s="1"/>
  <c r="BF48" s="1"/>
  <c r="AU48" i="8"/>
  <c r="AW48" s="1"/>
  <c r="AX48" s="1"/>
  <c r="AY48" s="1"/>
  <c r="AZ48" s="1"/>
  <c r="BA48" s="1"/>
  <c r="BB48" s="1"/>
  <c r="BF48" s="1"/>
  <c r="BG48" s="1"/>
  <c r="AN22" i="6"/>
  <c r="AO22" s="1"/>
  <c r="AP22" s="1"/>
  <c r="AQ22" s="1"/>
  <c r="AR22" s="1"/>
  <c r="AN19"/>
  <c r="AO19" s="1"/>
  <c r="AP19" s="1"/>
  <c r="AQ19" s="1"/>
  <c r="AR19" s="1"/>
  <c r="AN33" i="9"/>
  <c r="AO33" s="1"/>
  <c r="AP33" s="1"/>
  <c r="AQ33" s="1"/>
  <c r="AR33" s="1"/>
  <c r="AN11"/>
  <c r="AO11" s="1"/>
  <c r="AP11" s="1"/>
  <c r="AQ11" s="1"/>
  <c r="AR11" s="1"/>
  <c r="AN31" i="8"/>
  <c r="AO31" s="1"/>
  <c r="AP31" s="1"/>
  <c r="AQ31" s="1"/>
  <c r="AR31" s="1"/>
  <c r="AN38" i="6"/>
  <c r="AO38" s="1"/>
  <c r="AP38" s="1"/>
  <c r="AQ38" s="1"/>
  <c r="AR38" s="1"/>
  <c r="AU43" i="8"/>
  <c r="AW43" s="1"/>
  <c r="AX43" s="1"/>
  <c r="AY43" s="1"/>
  <c r="AZ43" s="1"/>
  <c r="BA43" s="1"/>
  <c r="BB43" s="1"/>
  <c r="BF43" s="1"/>
  <c r="BG43" s="1"/>
  <c r="BD43" i="6"/>
  <c r="BE43" s="1"/>
  <c r="BF43" s="1"/>
  <c r="AN25"/>
  <c r="AO25" s="1"/>
  <c r="AP25" s="1"/>
  <c r="AQ25" s="1"/>
  <c r="AR25" s="1"/>
  <c r="AN50"/>
  <c r="AO50" s="1"/>
  <c r="AP50" s="1"/>
  <c r="AQ50" s="1"/>
  <c r="AR50" s="1"/>
  <c r="AN21" i="8"/>
  <c r="AO21" s="1"/>
  <c r="AP21" s="1"/>
  <c r="AQ21" s="1"/>
  <c r="AR21" s="1"/>
  <c r="AN10" i="6"/>
  <c r="AO10" s="1"/>
  <c r="AP10" s="1"/>
  <c r="AQ10" s="1"/>
  <c r="AR10" s="1"/>
  <c r="AN51" i="8"/>
  <c r="AO51" s="1"/>
  <c r="AP51" s="1"/>
  <c r="AQ51" s="1"/>
  <c r="AR51" s="1"/>
  <c r="AU18"/>
  <c r="AW18" s="1"/>
  <c r="AX18" s="1"/>
  <c r="AY18" s="1"/>
  <c r="AZ18" s="1"/>
  <c r="BA18" s="1"/>
  <c r="BB18" s="1"/>
  <c r="BF18" s="1"/>
  <c r="BG18" s="1"/>
  <c r="BD18" i="6"/>
  <c r="BE18" s="1"/>
  <c r="BF18" s="1"/>
  <c r="AN30" i="8"/>
  <c r="AO30" s="1"/>
  <c r="AP30" s="1"/>
  <c r="AQ30" s="1"/>
  <c r="AR30" s="1"/>
  <c r="AN25"/>
  <c r="AO25" s="1"/>
  <c r="AP25" s="1"/>
  <c r="AQ25" s="1"/>
  <c r="AR25" s="1"/>
  <c r="AN34"/>
  <c r="AO34" s="1"/>
  <c r="AP34" s="1"/>
  <c r="AQ34" s="1"/>
  <c r="AR34" s="1"/>
  <c r="AK15" i="9"/>
  <c r="AL15" s="1"/>
  <c r="AN35" i="8"/>
  <c r="AO35" s="1"/>
  <c r="AP35" s="1"/>
  <c r="AQ35" s="1"/>
  <c r="AR35" s="1"/>
  <c r="AN28" i="9"/>
  <c r="AO28" s="1"/>
  <c r="AP28" s="1"/>
  <c r="AQ28" s="1"/>
  <c r="AR28" s="1"/>
  <c r="AK36" i="8"/>
  <c r="AL36" s="1"/>
  <c r="AK12"/>
  <c r="AL12" s="1"/>
  <c r="AL16" i="6"/>
  <c r="AN47" i="8"/>
  <c r="AO47" s="1"/>
  <c r="AP47" s="1"/>
  <c r="AQ47" s="1"/>
  <c r="AR47" s="1"/>
  <c r="AK21" i="6"/>
  <c r="AL21" s="1"/>
  <c r="AN32" i="8"/>
  <c r="AO32" s="1"/>
  <c r="AP32" s="1"/>
  <c r="AQ32" s="1"/>
  <c r="AR32" s="1"/>
  <c r="AK27" i="9"/>
  <c r="AL27" s="1"/>
  <c r="AN11" i="8"/>
  <c r="AO11" s="1"/>
  <c r="AP11" s="1"/>
  <c r="AQ11" s="1"/>
  <c r="AR11" s="1"/>
  <c r="AN34" i="6"/>
  <c r="AO34" s="1"/>
  <c r="AP34" s="1"/>
  <c r="AQ34" s="1"/>
  <c r="AR34" s="1"/>
  <c r="AK40" i="8"/>
  <c r="AL40" s="1"/>
  <c r="AN20"/>
  <c r="AO20" s="1"/>
  <c r="AP20" s="1"/>
  <c r="AQ20" s="1"/>
  <c r="AR20" s="1"/>
  <c r="AL67" i="9"/>
  <c r="AK36"/>
  <c r="AL36" s="1"/>
  <c r="AK29" i="6"/>
  <c r="AL29" s="1"/>
  <c r="AN54"/>
  <c r="AO54" s="1"/>
  <c r="AP54" s="1"/>
  <c r="AQ54" s="1"/>
  <c r="AR54" s="1"/>
  <c r="S60" i="8"/>
  <c r="AK9"/>
  <c r="AL9" s="1"/>
  <c r="AK67" i="6"/>
  <c r="AL67" s="1"/>
  <c r="AK41"/>
  <c r="AL41" s="1"/>
  <c r="AU28" i="8"/>
  <c r="AW28" s="1"/>
  <c r="AX28" s="1"/>
  <c r="AY28" s="1"/>
  <c r="AZ28" s="1"/>
  <c r="BA28" s="1"/>
  <c r="BB28" s="1"/>
  <c r="BF28" s="1"/>
  <c r="BG28" s="1"/>
  <c r="BD28" i="6"/>
  <c r="BE28" s="1"/>
  <c r="BF28" s="1"/>
  <c r="AL48"/>
  <c r="AN54" i="8"/>
  <c r="AO54" s="1"/>
  <c r="AP54" s="1"/>
  <c r="AQ54" s="1"/>
  <c r="AR54" s="1"/>
  <c r="AN55" i="6"/>
  <c r="AO55" s="1"/>
  <c r="AP55" s="1"/>
  <c r="AQ55" s="1"/>
  <c r="AR55" s="1"/>
  <c r="AL55" i="8"/>
  <c r="AL41"/>
  <c r="AL45" i="6"/>
  <c r="AL28"/>
  <c r="AB60"/>
  <c r="AL32"/>
  <c r="AK11"/>
  <c r="AL11" s="1"/>
  <c r="AL23"/>
  <c r="AB72" i="8"/>
  <c r="AK62" i="6"/>
  <c r="AL62" s="1"/>
  <c r="S72"/>
  <c r="S74" s="1"/>
  <c r="AK45" i="9"/>
  <c r="AL45" s="1"/>
  <c r="AK15" i="6"/>
  <c r="AL15" s="1"/>
  <c r="AL56" i="8"/>
  <c r="AL17"/>
  <c r="AL51" i="6"/>
  <c r="AL26" i="8"/>
  <c r="AK40" i="9"/>
  <c r="AL40" s="1"/>
  <c r="AK23"/>
  <c r="AL23" s="1"/>
  <c r="AB60"/>
  <c r="AN53" i="6"/>
  <c r="AO53" s="1"/>
  <c r="AP53" s="1"/>
  <c r="AQ53" s="1"/>
  <c r="AR53" s="1"/>
  <c r="AK41" i="9"/>
  <c r="AL41" s="1"/>
  <c r="AB72"/>
  <c r="AU54"/>
  <c r="AW54" s="1"/>
  <c r="AN22" i="8"/>
  <c r="AO22" s="1"/>
  <c r="AP22" s="1"/>
  <c r="AQ22" s="1"/>
  <c r="AR22" s="1"/>
  <c r="BD58" i="6"/>
  <c r="BE58" s="1"/>
  <c r="BF58" s="1"/>
  <c r="AU58" i="8"/>
  <c r="AW58" s="1"/>
  <c r="AX58" s="1"/>
  <c r="AY58" s="1"/>
  <c r="AZ58" s="1"/>
  <c r="BA58" s="1"/>
  <c r="BB58" s="1"/>
  <c r="BF58" s="1"/>
  <c r="BG58" s="1"/>
  <c r="AK19" i="9"/>
  <c r="AB60" i="8"/>
  <c r="AB72" i="6"/>
  <c r="AL49"/>
  <c r="AK65"/>
  <c r="AL65" s="1"/>
  <c r="AK44" i="8"/>
  <c r="AL44" s="1"/>
  <c r="Z74"/>
  <c r="AN52"/>
  <c r="AO52" s="1"/>
  <c r="AP52" s="1"/>
  <c r="AQ52" s="1"/>
  <c r="AR52" s="1"/>
  <c r="AK33"/>
  <c r="AL33" s="1"/>
  <c r="AK68" i="6"/>
  <c r="AL68" s="1"/>
  <c r="BD38"/>
  <c r="BE38" s="1"/>
  <c r="BF38" s="1"/>
  <c r="AU38" i="8"/>
  <c r="AW38" s="1"/>
  <c r="AX38" s="1"/>
  <c r="AY38" s="1"/>
  <c r="AZ38" s="1"/>
  <c r="BA38" s="1"/>
  <c r="BB38" s="1"/>
  <c r="BF38" s="1"/>
  <c r="BG38" s="1"/>
  <c r="AT72" i="9"/>
  <c r="AV72" s="1"/>
  <c r="AN57" i="8"/>
  <c r="AO57" s="1"/>
  <c r="AP57" s="1"/>
  <c r="AQ57" s="1"/>
  <c r="AR57" s="1"/>
  <c r="V74"/>
  <c r="AK27"/>
  <c r="AL27" s="1"/>
  <c r="AK43" i="6"/>
  <c r="AL43" s="1"/>
  <c r="AK47"/>
  <c r="AL47" s="1"/>
  <c r="AL10" i="8"/>
  <c r="AK50"/>
  <c r="AL50" s="1"/>
  <c r="AN17" i="9"/>
  <c r="AO17" s="1"/>
  <c r="AP17" s="1"/>
  <c r="AQ17" s="1"/>
  <c r="AR17" s="1"/>
  <c r="AN39"/>
  <c r="AO39" s="1"/>
  <c r="AP39" s="1"/>
  <c r="AQ39" s="1"/>
  <c r="AR39" s="1"/>
  <c r="AK15" i="8"/>
  <c r="AL15" s="1"/>
  <c r="AN13"/>
  <c r="AO13" s="1"/>
  <c r="AP13" s="1"/>
  <c r="AQ13" s="1"/>
  <c r="AR13" s="1"/>
  <c r="AN53" i="9"/>
  <c r="AO53" s="1"/>
  <c r="AP53" s="1"/>
  <c r="AQ53" s="1"/>
  <c r="AR53" s="1"/>
  <c r="AV62" i="8"/>
  <c r="AT72"/>
  <c r="AV72" s="1"/>
  <c r="AN20" i="6"/>
  <c r="AO20" s="1"/>
  <c r="AP20" s="1"/>
  <c r="AQ20" s="1"/>
  <c r="AR20" s="1"/>
  <c r="AN24" i="8"/>
  <c r="AO24" s="1"/>
  <c r="AP24" s="1"/>
  <c r="AQ24" s="1"/>
  <c r="AR24" s="1"/>
  <c r="AL46" i="6"/>
  <c r="T74" i="8"/>
  <c r="AL35" i="9"/>
  <c r="AK37" i="8"/>
  <c r="AL37" s="1"/>
  <c r="AL53"/>
  <c r="AK23"/>
  <c r="AL23" s="1"/>
  <c r="AK9" i="6"/>
  <c r="AK12"/>
  <c r="AL12" s="1"/>
  <c r="AR44" i="9" l="1"/>
  <c r="S74"/>
  <c r="BA52" i="6"/>
  <c r="BB52" s="1"/>
  <c r="BD74" i="8"/>
  <c r="BE74" s="1"/>
  <c r="AP66"/>
  <c r="AQ66" s="1"/>
  <c r="AR66" s="1"/>
  <c r="AP68"/>
  <c r="AQ68" s="1"/>
  <c r="AR68" s="1"/>
  <c r="BM43"/>
  <c r="AP69"/>
  <c r="AQ69" s="1"/>
  <c r="AR69" s="1"/>
  <c r="AP65"/>
  <c r="AQ65" s="1"/>
  <c r="AR65" s="1"/>
  <c r="AP70"/>
  <c r="AQ70" s="1"/>
  <c r="AR70" s="1"/>
  <c r="BM48"/>
  <c r="AP63"/>
  <c r="AQ63" s="1"/>
  <c r="AR63" s="1"/>
  <c r="AP64"/>
  <c r="AQ64" s="1"/>
  <c r="AR64" s="1"/>
  <c r="BM38"/>
  <c r="BM28"/>
  <c r="AP62"/>
  <c r="AQ62" s="1"/>
  <c r="AR62" s="1"/>
  <c r="BM18"/>
  <c r="BM58"/>
  <c r="AP66" i="9"/>
  <c r="AQ66" s="1"/>
  <c r="AR66" s="1"/>
  <c r="AU66" s="1"/>
  <c r="AW66" s="1"/>
  <c r="AP69"/>
  <c r="AQ69" s="1"/>
  <c r="AR69" s="1"/>
  <c r="AU69" s="1"/>
  <c r="AW69" s="1"/>
  <c r="BV74"/>
  <c r="BW74" s="1"/>
  <c r="AP65"/>
  <c r="AQ65" s="1"/>
  <c r="AR65" s="1"/>
  <c r="AU65" s="1"/>
  <c r="AW65" s="1"/>
  <c r="AP70"/>
  <c r="AQ70" s="1"/>
  <c r="AR70" s="1"/>
  <c r="AU70" s="1"/>
  <c r="AW70" s="1"/>
  <c r="AP63"/>
  <c r="AQ63" s="1"/>
  <c r="AR63" s="1"/>
  <c r="AU63" s="1"/>
  <c r="AW63" s="1"/>
  <c r="S74" i="8"/>
  <c r="AK72"/>
  <c r="AB74"/>
  <c r="BH43" i="6"/>
  <c r="BH43" i="9"/>
  <c r="BJ43" s="1"/>
  <c r="BH48"/>
  <c r="BH28"/>
  <c r="BH18"/>
  <c r="BH58"/>
  <c r="BH38"/>
  <c r="AX24"/>
  <c r="AY24" s="1"/>
  <c r="AZ24" s="1"/>
  <c r="BA24" s="1"/>
  <c r="BB24" s="1"/>
  <c r="AX54"/>
  <c r="AY54" s="1"/>
  <c r="AZ54" s="1"/>
  <c r="BA54" s="1"/>
  <c r="BB54" s="1"/>
  <c r="AU48"/>
  <c r="AW48" s="1"/>
  <c r="AU44"/>
  <c r="AW44" s="1"/>
  <c r="AU55"/>
  <c r="AW55" s="1"/>
  <c r="AU26"/>
  <c r="AW26" s="1"/>
  <c r="AK60"/>
  <c r="AT74" i="6"/>
  <c r="AV74" s="1"/>
  <c r="AR36"/>
  <c r="AU36" s="1"/>
  <c r="AW36" s="1"/>
  <c r="AX36" s="1"/>
  <c r="AN39" i="8"/>
  <c r="AO39" s="1"/>
  <c r="AP39" s="1"/>
  <c r="AQ39" s="1"/>
  <c r="AR39" s="1"/>
  <c r="AN37" i="6"/>
  <c r="AO37" s="1"/>
  <c r="AP37" s="1"/>
  <c r="AQ37" s="1"/>
  <c r="AR37" s="1"/>
  <c r="AU37" s="1"/>
  <c r="AW37" s="1"/>
  <c r="AX37" s="1"/>
  <c r="W73" i="1"/>
  <c r="X73"/>
  <c r="AR29" i="8"/>
  <c r="BD29" i="6" s="1"/>
  <c r="BE29" s="1"/>
  <c r="BF29" s="1"/>
  <c r="AL67" i="8"/>
  <c r="AL72" s="1"/>
  <c r="AU57"/>
  <c r="AW57" s="1"/>
  <c r="AX57" s="1"/>
  <c r="AY57" s="1"/>
  <c r="AZ57" s="1"/>
  <c r="BA57" s="1"/>
  <c r="BB57" s="1"/>
  <c r="BF57" s="1"/>
  <c r="BG57" s="1"/>
  <c r="BD57" i="6"/>
  <c r="BE57" s="1"/>
  <c r="BF57" s="1"/>
  <c r="AU20" i="9"/>
  <c r="AW20" s="1"/>
  <c r="AU66" i="6"/>
  <c r="AW66" s="1"/>
  <c r="AX66" s="1"/>
  <c r="AU11" i="9"/>
  <c r="AW11" s="1"/>
  <c r="AU47"/>
  <c r="AW47" s="1"/>
  <c r="AU34" i="6"/>
  <c r="AW34" s="1"/>
  <c r="AX34" s="1"/>
  <c r="AU34" i="8"/>
  <c r="AW34" s="1"/>
  <c r="AX34" s="1"/>
  <c r="AY34" s="1"/>
  <c r="AZ34" s="1"/>
  <c r="BA34" s="1"/>
  <c r="BB34" s="1"/>
  <c r="BF34" s="1"/>
  <c r="BG34" s="1"/>
  <c r="BD34" i="6"/>
  <c r="BE34" s="1"/>
  <c r="BF34" s="1"/>
  <c r="AU64"/>
  <c r="AW64" s="1"/>
  <c r="AX64" s="1"/>
  <c r="AU56"/>
  <c r="AW56" s="1"/>
  <c r="AX56" s="1"/>
  <c r="AU13"/>
  <c r="AW13" s="1"/>
  <c r="AX13" s="1"/>
  <c r="AN43"/>
  <c r="AO43" s="1"/>
  <c r="AP43" s="1"/>
  <c r="AQ43" s="1"/>
  <c r="AR43" s="1"/>
  <c r="AU13" i="9"/>
  <c r="AW13" s="1"/>
  <c r="AU16"/>
  <c r="AW16" s="1"/>
  <c r="AU18"/>
  <c r="AW18" s="1"/>
  <c r="AU31" i="6"/>
  <c r="AW31" s="1"/>
  <c r="AX31" s="1"/>
  <c r="AU25"/>
  <c r="AW25" s="1"/>
  <c r="AX25" s="1"/>
  <c r="AN40" i="8"/>
  <c r="AO40" s="1"/>
  <c r="AP40" s="1"/>
  <c r="AQ40" s="1"/>
  <c r="AR40" s="1"/>
  <c r="BD47" i="6"/>
  <c r="BE47" s="1"/>
  <c r="BF47" s="1"/>
  <c r="AU47" i="8"/>
  <c r="AW47" s="1"/>
  <c r="AX47" s="1"/>
  <c r="AY47" s="1"/>
  <c r="AZ47" s="1"/>
  <c r="BA47" s="1"/>
  <c r="BB47" s="1"/>
  <c r="BF47" s="1"/>
  <c r="BG47" s="1"/>
  <c r="AU50" i="9"/>
  <c r="AW50" s="1"/>
  <c r="AU14"/>
  <c r="AW14" s="1"/>
  <c r="AU18" i="6"/>
  <c r="AW18" s="1"/>
  <c r="AX18" s="1"/>
  <c r="AU22"/>
  <c r="AW22" s="1"/>
  <c r="AX22" s="1"/>
  <c r="AU16" i="8"/>
  <c r="AW16" s="1"/>
  <c r="AX16" s="1"/>
  <c r="AY16" s="1"/>
  <c r="AZ16" s="1"/>
  <c r="BA16" s="1"/>
  <c r="BB16" s="1"/>
  <c r="BF16" s="1"/>
  <c r="BG16" s="1"/>
  <c r="BD16" i="6"/>
  <c r="BE16" s="1"/>
  <c r="BF16" s="1"/>
  <c r="AU31" i="9"/>
  <c r="AW31" s="1"/>
  <c r="AU10" i="6"/>
  <c r="AW10" s="1"/>
  <c r="AX10" s="1"/>
  <c r="AU30"/>
  <c r="AW30" s="1"/>
  <c r="AX30" s="1"/>
  <c r="AU54"/>
  <c r="AW54" s="1"/>
  <c r="AX54" s="1"/>
  <c r="AU24"/>
  <c r="AW24" s="1"/>
  <c r="AX24" s="1"/>
  <c r="AN40" i="9"/>
  <c r="AO40" s="1"/>
  <c r="AP40" s="1"/>
  <c r="AQ40" s="1"/>
  <c r="AR40" s="1"/>
  <c r="AU19" i="8"/>
  <c r="AW19" s="1"/>
  <c r="AX19" s="1"/>
  <c r="AY19" s="1"/>
  <c r="AZ19" s="1"/>
  <c r="BA19" s="1"/>
  <c r="BB19" s="1"/>
  <c r="BF19" s="1"/>
  <c r="BG19" s="1"/>
  <c r="BD19" i="6"/>
  <c r="BE19" s="1"/>
  <c r="BF19" s="1"/>
  <c r="AU39"/>
  <c r="AW39" s="1"/>
  <c r="AX39" s="1"/>
  <c r="AU52" i="8"/>
  <c r="AW52" s="1"/>
  <c r="AX52" s="1"/>
  <c r="AY52" s="1"/>
  <c r="AZ52" s="1"/>
  <c r="BA52" s="1"/>
  <c r="BB52" s="1"/>
  <c r="BF52" s="1"/>
  <c r="BG52" s="1"/>
  <c r="BD52" i="6"/>
  <c r="BE52" s="1"/>
  <c r="BF52" s="1"/>
  <c r="AN33" i="8"/>
  <c r="AO33" s="1"/>
  <c r="AP33" s="1"/>
  <c r="AQ33" s="1"/>
  <c r="AR33" s="1"/>
  <c r="AN68" i="6"/>
  <c r="AO68" s="1"/>
  <c r="AP68" s="1"/>
  <c r="AQ68" s="1"/>
  <c r="AR68" s="1"/>
  <c r="AU31" i="8"/>
  <c r="AW31" s="1"/>
  <c r="AX31" s="1"/>
  <c r="AY31" s="1"/>
  <c r="AZ31" s="1"/>
  <c r="BA31" s="1"/>
  <c r="BB31" s="1"/>
  <c r="BF31" s="1"/>
  <c r="BG31" s="1"/>
  <c r="BD31" i="6"/>
  <c r="BE31" s="1"/>
  <c r="BF31" s="1"/>
  <c r="AN50" i="8"/>
  <c r="AO50" s="1"/>
  <c r="AP50" s="1"/>
  <c r="AQ50" s="1"/>
  <c r="AR50" s="1"/>
  <c r="AU17" i="9"/>
  <c r="AW17" s="1"/>
  <c r="AN23" i="8"/>
  <c r="AO23" s="1"/>
  <c r="AP23" s="1"/>
  <c r="AQ23" s="1"/>
  <c r="AR23" s="1"/>
  <c r="AN62" i="6"/>
  <c r="AL72"/>
  <c r="AU46" i="9"/>
  <c r="AW46" s="1"/>
  <c r="AU57" i="6"/>
  <c r="AW57" s="1"/>
  <c r="AX57" s="1"/>
  <c r="AU32" i="8"/>
  <c r="AW32" s="1"/>
  <c r="AX32" s="1"/>
  <c r="AY32" s="1"/>
  <c r="AZ32" s="1"/>
  <c r="BA32" s="1"/>
  <c r="BB32" s="1"/>
  <c r="BF32" s="1"/>
  <c r="BG32" s="1"/>
  <c r="BD32" i="6"/>
  <c r="BE32" s="1"/>
  <c r="BF32" s="1"/>
  <c r="AN15" i="8"/>
  <c r="AO15" s="1"/>
  <c r="AP15" s="1"/>
  <c r="AQ15" s="1"/>
  <c r="AR15" s="1"/>
  <c r="AN23" i="9"/>
  <c r="AO23" s="1"/>
  <c r="AP23" s="1"/>
  <c r="AQ23" s="1"/>
  <c r="AR23" s="1"/>
  <c r="BD14" i="6"/>
  <c r="BE14" s="1"/>
  <c r="BF14" s="1"/>
  <c r="AU14" i="8"/>
  <c r="AW14" s="1"/>
  <c r="AX14" s="1"/>
  <c r="AY14" s="1"/>
  <c r="AZ14" s="1"/>
  <c r="BA14" s="1"/>
  <c r="BB14" s="1"/>
  <c r="BF14" s="1"/>
  <c r="BG14" s="1"/>
  <c r="BD20" i="6"/>
  <c r="BE20" s="1"/>
  <c r="BF20" s="1"/>
  <c r="AU20" i="8"/>
  <c r="AW20" s="1"/>
  <c r="AX20" s="1"/>
  <c r="AY20" s="1"/>
  <c r="AZ20" s="1"/>
  <c r="BA20" s="1"/>
  <c r="BB20" s="1"/>
  <c r="BF20" s="1"/>
  <c r="BG20" s="1"/>
  <c r="AU40" i="6"/>
  <c r="AW40" s="1"/>
  <c r="AX40" s="1"/>
  <c r="AN47"/>
  <c r="AO47" s="1"/>
  <c r="AP47" s="1"/>
  <c r="AQ47" s="1"/>
  <c r="AR47" s="1"/>
  <c r="AN21"/>
  <c r="AO21" s="1"/>
  <c r="AP21" s="1"/>
  <c r="AQ21" s="1"/>
  <c r="AR21" s="1"/>
  <c r="AU69"/>
  <c r="AW69" s="1"/>
  <c r="AX69" s="1"/>
  <c r="AU27"/>
  <c r="AW27" s="1"/>
  <c r="AX27" s="1"/>
  <c r="AN27" i="8"/>
  <c r="AO27" s="1"/>
  <c r="AP27" s="1"/>
  <c r="AQ27" s="1"/>
  <c r="AR27" s="1"/>
  <c r="AN44"/>
  <c r="AO44" s="1"/>
  <c r="AP44" s="1"/>
  <c r="AQ44" s="1"/>
  <c r="AR44" s="1"/>
  <c r="AU24"/>
  <c r="AW24" s="1"/>
  <c r="AX24" s="1"/>
  <c r="AY24" s="1"/>
  <c r="AZ24" s="1"/>
  <c r="BA24" s="1"/>
  <c r="BB24" s="1"/>
  <c r="BF24" s="1"/>
  <c r="BG24" s="1"/>
  <c r="BD24" i="6"/>
  <c r="BE24" s="1"/>
  <c r="BF24" s="1"/>
  <c r="AL60" i="8"/>
  <c r="AN9"/>
  <c r="AU39" i="9"/>
  <c r="AW39" s="1"/>
  <c r="AN45"/>
  <c r="AO45" s="1"/>
  <c r="AP45" s="1"/>
  <c r="AQ45" s="1"/>
  <c r="AR45" s="1"/>
  <c r="AN67"/>
  <c r="AO67" s="1"/>
  <c r="AU51" i="8"/>
  <c r="AW51" s="1"/>
  <c r="AX51" s="1"/>
  <c r="AY51" s="1"/>
  <c r="AZ51" s="1"/>
  <c r="BA51" s="1"/>
  <c r="BB51" s="1"/>
  <c r="BF51" s="1"/>
  <c r="BG51" s="1"/>
  <c r="BD51" i="6"/>
  <c r="BE51" s="1"/>
  <c r="BF51" s="1"/>
  <c r="AU19"/>
  <c r="AW19" s="1"/>
  <c r="AX19" s="1"/>
  <c r="AU42"/>
  <c r="AW42" s="1"/>
  <c r="AX42" s="1"/>
  <c r="AU33"/>
  <c r="AW33" s="1"/>
  <c r="AX33" s="1"/>
  <c r="AN36" i="8"/>
  <c r="AO36" s="1"/>
  <c r="AP36" s="1"/>
  <c r="AQ36" s="1"/>
  <c r="AR36" s="1"/>
  <c r="AU51" i="9"/>
  <c r="AW51" s="1"/>
  <c r="AU25"/>
  <c r="AW25" s="1"/>
  <c r="AN41" i="6"/>
  <c r="AO41" s="1"/>
  <c r="AP41" s="1"/>
  <c r="AQ41" s="1"/>
  <c r="AR41" s="1"/>
  <c r="AN36" i="9"/>
  <c r="AO36" s="1"/>
  <c r="AP36" s="1"/>
  <c r="AQ36" s="1"/>
  <c r="AR36" s="1"/>
  <c r="AN27"/>
  <c r="AO27" s="1"/>
  <c r="AP27" s="1"/>
  <c r="AQ27" s="1"/>
  <c r="AR27" s="1"/>
  <c r="AU38"/>
  <c r="AW38" s="1"/>
  <c r="AU53"/>
  <c r="AW53" s="1"/>
  <c r="AU12"/>
  <c r="AW12" s="1"/>
  <c r="AN15" i="6"/>
  <c r="AO15" s="1"/>
  <c r="AP15" s="1"/>
  <c r="AQ15" s="1"/>
  <c r="AR15" s="1"/>
  <c r="AU37" i="9"/>
  <c r="AW37" s="1"/>
  <c r="AU26" i="6"/>
  <c r="AW26" s="1"/>
  <c r="AX26" s="1"/>
  <c r="AU58"/>
  <c r="AW58" s="1"/>
  <c r="AX58" s="1"/>
  <c r="AU42" i="8"/>
  <c r="AW42" s="1"/>
  <c r="AX42" s="1"/>
  <c r="AY42" s="1"/>
  <c r="AZ42" s="1"/>
  <c r="BA42" s="1"/>
  <c r="BB42" s="1"/>
  <c r="BF42" s="1"/>
  <c r="BG42" s="1"/>
  <c r="BD42" i="6"/>
  <c r="BE42" s="1"/>
  <c r="BF42" s="1"/>
  <c r="AU35"/>
  <c r="AW35" s="1"/>
  <c r="AX35" s="1"/>
  <c r="AU45" i="8"/>
  <c r="AW45" s="1"/>
  <c r="AX45" s="1"/>
  <c r="AY45" s="1"/>
  <c r="AZ45" s="1"/>
  <c r="BA45" s="1"/>
  <c r="BB45" s="1"/>
  <c r="BF45" s="1"/>
  <c r="BG45" s="1"/>
  <c r="BD45" i="6"/>
  <c r="BE45" s="1"/>
  <c r="BF45" s="1"/>
  <c r="AU14"/>
  <c r="AW14" s="1"/>
  <c r="AX14" s="1"/>
  <c r="AU30" i="8"/>
  <c r="AW30" s="1"/>
  <c r="AX30" s="1"/>
  <c r="AY30" s="1"/>
  <c r="AZ30" s="1"/>
  <c r="BA30" s="1"/>
  <c r="BB30" s="1"/>
  <c r="BF30" s="1"/>
  <c r="BG30" s="1"/>
  <c r="BD30" i="6"/>
  <c r="BE30" s="1"/>
  <c r="BF30" s="1"/>
  <c r="AU30" i="9"/>
  <c r="AW30" s="1"/>
  <c r="AN65" i="6"/>
  <c r="AO65" s="1"/>
  <c r="AP65" s="1"/>
  <c r="AQ65" s="1"/>
  <c r="AR65" s="1"/>
  <c r="BD11"/>
  <c r="BE11" s="1"/>
  <c r="BF11" s="1"/>
  <c r="AU11" i="8"/>
  <c r="AW11" s="1"/>
  <c r="AX11" s="1"/>
  <c r="AY11" s="1"/>
  <c r="AZ11" s="1"/>
  <c r="BA11" s="1"/>
  <c r="BB11" s="1"/>
  <c r="BF11" s="1"/>
  <c r="BG11" s="1"/>
  <c r="AU42" i="9"/>
  <c r="AW42" s="1"/>
  <c r="AU33"/>
  <c r="AW33" s="1"/>
  <c r="AU43"/>
  <c r="AW43" s="1"/>
  <c r="AN12" i="6"/>
  <c r="AO12" s="1"/>
  <c r="AP12" s="1"/>
  <c r="AQ12" s="1"/>
  <c r="AR12" s="1"/>
  <c r="BG58"/>
  <c r="AK60"/>
  <c r="AL9"/>
  <c r="AN17" i="8"/>
  <c r="AO17" s="1"/>
  <c r="AP17" s="1"/>
  <c r="AQ17" s="1"/>
  <c r="AR17" s="1"/>
  <c r="AN41"/>
  <c r="AO41" s="1"/>
  <c r="AP41" s="1"/>
  <c r="AQ41" s="1"/>
  <c r="AR41" s="1"/>
  <c r="AN48" i="6"/>
  <c r="AO48" s="1"/>
  <c r="AP48" s="1"/>
  <c r="AQ48" s="1"/>
  <c r="AR48" s="1"/>
  <c r="AN57" i="9"/>
  <c r="AO57" s="1"/>
  <c r="AP57" s="1"/>
  <c r="AQ57" s="1"/>
  <c r="AR57" s="1"/>
  <c r="AN51" i="6"/>
  <c r="AO51" s="1"/>
  <c r="AP51" s="1"/>
  <c r="AQ51" s="1"/>
  <c r="AR51" s="1"/>
  <c r="AN45"/>
  <c r="AO45" s="1"/>
  <c r="AP45" s="1"/>
  <c r="AQ45" s="1"/>
  <c r="AR45" s="1"/>
  <c r="AU49" i="9"/>
  <c r="AW49" s="1"/>
  <c r="BG43" i="6"/>
  <c r="AU25" i="8"/>
  <c r="AW25" s="1"/>
  <c r="AX25" s="1"/>
  <c r="AY25" s="1"/>
  <c r="AZ25" s="1"/>
  <c r="BA25" s="1"/>
  <c r="BB25" s="1"/>
  <c r="BF25" s="1"/>
  <c r="BG25" s="1"/>
  <c r="BD25" i="6"/>
  <c r="BE25" s="1"/>
  <c r="BF25" s="1"/>
  <c r="AN26" i="8"/>
  <c r="AO26" s="1"/>
  <c r="AP26" s="1"/>
  <c r="AQ26" s="1"/>
  <c r="AR26" s="1"/>
  <c r="BD21" i="6"/>
  <c r="BE21" s="1"/>
  <c r="BF21" s="1"/>
  <c r="AU21" i="8"/>
  <c r="AW21" s="1"/>
  <c r="AX21" s="1"/>
  <c r="AY21" s="1"/>
  <c r="AZ21" s="1"/>
  <c r="BA21" s="1"/>
  <c r="BB21" s="1"/>
  <c r="BF21" s="1"/>
  <c r="BG21" s="1"/>
  <c r="AN41" i="9"/>
  <c r="AO41" s="1"/>
  <c r="AP41" s="1"/>
  <c r="AQ41" s="1"/>
  <c r="AR41" s="1"/>
  <c r="AN28" i="6"/>
  <c r="AO28" s="1"/>
  <c r="AP28" s="1"/>
  <c r="AQ28" s="1"/>
  <c r="AR28" s="1"/>
  <c r="AU56" i="9"/>
  <c r="AW56" s="1"/>
  <c r="AU29"/>
  <c r="AW29" s="1"/>
  <c r="AU52"/>
  <c r="AW52" s="1"/>
  <c r="AT74"/>
  <c r="AV74" s="1"/>
  <c r="AB74" i="6"/>
  <c r="AL19" i="9"/>
  <c r="AL60" s="1"/>
  <c r="AN49" i="6"/>
  <c r="AO49" s="1"/>
  <c r="AP49" s="1"/>
  <c r="AQ49" s="1"/>
  <c r="AR49" s="1"/>
  <c r="AN32"/>
  <c r="AO32" s="1"/>
  <c r="AP32" s="1"/>
  <c r="AQ32" s="1"/>
  <c r="AR32" s="1"/>
  <c r="AN70"/>
  <c r="AO70" s="1"/>
  <c r="AP70" s="1"/>
  <c r="AQ70" s="1"/>
  <c r="AR70" s="1"/>
  <c r="AK72" i="9"/>
  <c r="AL62"/>
  <c r="AN12" i="8"/>
  <c r="AO12" s="1"/>
  <c r="AP12" s="1"/>
  <c r="AQ12" s="1"/>
  <c r="AR12" s="1"/>
  <c r="AU13"/>
  <c r="AW13" s="1"/>
  <c r="AX13" s="1"/>
  <c r="AY13" s="1"/>
  <c r="AZ13" s="1"/>
  <c r="BA13" s="1"/>
  <c r="BB13" s="1"/>
  <c r="BF13" s="1"/>
  <c r="BG13" s="1"/>
  <c r="BD13" i="6"/>
  <c r="BE13" s="1"/>
  <c r="BF13" s="1"/>
  <c r="AU32" i="9"/>
  <c r="AW32" s="1"/>
  <c r="BD54" i="6"/>
  <c r="BE54" s="1"/>
  <c r="BF54" s="1"/>
  <c r="AU54" i="8"/>
  <c r="AW54" s="1"/>
  <c r="AX54" s="1"/>
  <c r="AY54" s="1"/>
  <c r="AZ54" s="1"/>
  <c r="BA54" s="1"/>
  <c r="BB54" s="1"/>
  <c r="BF54" s="1"/>
  <c r="BG54" s="1"/>
  <c r="AN15" i="9"/>
  <c r="AO15" s="1"/>
  <c r="AP15" s="1"/>
  <c r="AQ15" s="1"/>
  <c r="AR15" s="1"/>
  <c r="AK72" i="6"/>
  <c r="AU17"/>
  <c r="AW17" s="1"/>
  <c r="AX17" s="1"/>
  <c r="AN55" i="8"/>
  <c r="AO55" s="1"/>
  <c r="AP55" s="1"/>
  <c r="AQ55" s="1"/>
  <c r="AR55" s="1"/>
  <c r="AU58" i="9"/>
  <c r="AW58" s="1"/>
  <c r="AN10" i="8"/>
  <c r="AO10" s="1"/>
  <c r="AP10" s="1"/>
  <c r="AQ10" s="1"/>
  <c r="AR10" s="1"/>
  <c r="AN56"/>
  <c r="AO56" s="1"/>
  <c r="AP56" s="1"/>
  <c r="AQ56" s="1"/>
  <c r="AR56" s="1"/>
  <c r="BG48" i="6"/>
  <c r="AN21" i="9"/>
  <c r="AO21" s="1"/>
  <c r="AP21" s="1"/>
  <c r="AQ21" s="1"/>
  <c r="AR21" s="1"/>
  <c r="AN11" i="6"/>
  <c r="AO11" s="1"/>
  <c r="AP11" s="1"/>
  <c r="AQ11" s="1"/>
  <c r="AR11" s="1"/>
  <c r="AN46"/>
  <c r="AO46" s="1"/>
  <c r="AP46" s="1"/>
  <c r="AQ46" s="1"/>
  <c r="AR46" s="1"/>
  <c r="BG38"/>
  <c r="AN63"/>
  <c r="AO63" s="1"/>
  <c r="AP63" s="1"/>
  <c r="AQ63" s="1"/>
  <c r="AR63" s="1"/>
  <c r="AN64" i="9"/>
  <c r="AO64" s="1"/>
  <c r="BG18" i="6"/>
  <c r="BH18" s="1"/>
  <c r="AN68" i="9"/>
  <c r="AO68" s="1"/>
  <c r="AU53" i="6"/>
  <c r="AW53" s="1"/>
  <c r="AX53" s="1"/>
  <c r="AU46" i="8"/>
  <c r="AW46" s="1"/>
  <c r="AX46" s="1"/>
  <c r="AY46" s="1"/>
  <c r="AZ46" s="1"/>
  <c r="BA46" s="1"/>
  <c r="BB46" s="1"/>
  <c r="BF46" s="1"/>
  <c r="BG46" s="1"/>
  <c r="BD46" i="6"/>
  <c r="BE46" s="1"/>
  <c r="BF46" s="1"/>
  <c r="AN37" i="8"/>
  <c r="AO37" s="1"/>
  <c r="AP37" s="1"/>
  <c r="AQ37" s="1"/>
  <c r="AR37" s="1"/>
  <c r="AN29" i="6"/>
  <c r="AO29" s="1"/>
  <c r="AP29" s="1"/>
  <c r="AQ29" s="1"/>
  <c r="AR29" s="1"/>
  <c r="AU20"/>
  <c r="AW20" s="1"/>
  <c r="AX20" s="1"/>
  <c r="AU35" i="8"/>
  <c r="AW35" s="1"/>
  <c r="AX35" s="1"/>
  <c r="AY35" s="1"/>
  <c r="AZ35" s="1"/>
  <c r="BA35" s="1"/>
  <c r="BB35" s="1"/>
  <c r="BF35" s="1"/>
  <c r="BG35" s="1"/>
  <c r="BD35" i="6"/>
  <c r="BE35" s="1"/>
  <c r="BF35" s="1"/>
  <c r="AU38"/>
  <c r="AW38" s="1"/>
  <c r="AX38" s="1"/>
  <c r="AU44"/>
  <c r="AW44" s="1"/>
  <c r="AX44" s="1"/>
  <c r="AU49" i="8"/>
  <c r="AW49" s="1"/>
  <c r="AX49" s="1"/>
  <c r="AY49" s="1"/>
  <c r="AZ49" s="1"/>
  <c r="BA49" s="1"/>
  <c r="BB49" s="1"/>
  <c r="BF49" s="1"/>
  <c r="BG49" s="1"/>
  <c r="BD49" i="6"/>
  <c r="BE49" s="1"/>
  <c r="BF49" s="1"/>
  <c r="AU55"/>
  <c r="AW55" s="1"/>
  <c r="AX55" s="1"/>
  <c r="AN35" i="9"/>
  <c r="AO35" s="1"/>
  <c r="AP35" s="1"/>
  <c r="AQ35" s="1"/>
  <c r="AR35" s="1"/>
  <c r="AN16" i="6"/>
  <c r="AO16" s="1"/>
  <c r="AP16" s="1"/>
  <c r="AQ16" s="1"/>
  <c r="AR16" s="1"/>
  <c r="AB74" i="9"/>
  <c r="AN53" i="8"/>
  <c r="AO53" s="1"/>
  <c r="AP53" s="1"/>
  <c r="AQ53" s="1"/>
  <c r="AR53" s="1"/>
  <c r="AN67" i="6"/>
  <c r="AO67" s="1"/>
  <c r="AP67" s="1"/>
  <c r="AQ67" s="1"/>
  <c r="AR67" s="1"/>
  <c r="AU50"/>
  <c r="AW50" s="1"/>
  <c r="AX50" s="1"/>
  <c r="BD22"/>
  <c r="BE22" s="1"/>
  <c r="BF22" s="1"/>
  <c r="AU22" i="8"/>
  <c r="AW22" s="1"/>
  <c r="AX22" s="1"/>
  <c r="AY22" s="1"/>
  <c r="AZ22" s="1"/>
  <c r="BA22" s="1"/>
  <c r="BB22" s="1"/>
  <c r="BF22" s="1"/>
  <c r="BG22" s="1"/>
  <c r="AN9" i="9"/>
  <c r="AU34"/>
  <c r="AW34" s="1"/>
  <c r="AN23" i="6"/>
  <c r="AO23" s="1"/>
  <c r="AP23" s="1"/>
  <c r="AQ23" s="1"/>
  <c r="AR23" s="1"/>
  <c r="BG28"/>
  <c r="BH28" s="1"/>
  <c r="AU28" i="9"/>
  <c r="AW28" s="1"/>
  <c r="AU22"/>
  <c r="AW22" s="1"/>
  <c r="AU10"/>
  <c r="AW10" s="1"/>
  <c r="AT74" i="8"/>
  <c r="AV74" s="1"/>
  <c r="AK60"/>
  <c r="BD68" i="6" l="1"/>
  <c r="BE68" s="1"/>
  <c r="BF68" s="1"/>
  <c r="BH68" i="9" s="1"/>
  <c r="AU68" i="8"/>
  <c r="AW68" s="1"/>
  <c r="AX68" s="1"/>
  <c r="AY68" s="1"/>
  <c r="AZ68" s="1"/>
  <c r="BA68" s="1"/>
  <c r="BB68" s="1"/>
  <c r="BF68" s="1"/>
  <c r="BG68" s="1"/>
  <c r="BD70" i="6"/>
  <c r="BE70" s="1"/>
  <c r="BF70" s="1"/>
  <c r="AU70" i="8"/>
  <c r="AW70" s="1"/>
  <c r="AX70" s="1"/>
  <c r="AY70" s="1"/>
  <c r="AZ70" s="1"/>
  <c r="BA70" s="1"/>
  <c r="BB70" s="1"/>
  <c r="BF70" s="1"/>
  <c r="BG70" s="1"/>
  <c r="AU66"/>
  <c r="AW66" s="1"/>
  <c r="AX66" s="1"/>
  <c r="BD66" i="6"/>
  <c r="BE66" s="1"/>
  <c r="BF66" s="1"/>
  <c r="BH66" i="9" s="1"/>
  <c r="AU69" i="8"/>
  <c r="AW69" s="1"/>
  <c r="AX69" s="1"/>
  <c r="BD69" i="6"/>
  <c r="BE69" s="1"/>
  <c r="BF69" s="1"/>
  <c r="BH69" i="9" s="1"/>
  <c r="BD65" i="6"/>
  <c r="BE65" s="1"/>
  <c r="BF65" s="1"/>
  <c r="BH65" i="9" s="1"/>
  <c r="AU65" i="8"/>
  <c r="AW65" s="1"/>
  <c r="AX65" s="1"/>
  <c r="BD62" i="6"/>
  <c r="BE62" s="1"/>
  <c r="BF62" s="1"/>
  <c r="AU62" i="8"/>
  <c r="AW62" s="1"/>
  <c r="AX62" s="1"/>
  <c r="BD64" i="6"/>
  <c r="BE64" s="1"/>
  <c r="BF64" s="1"/>
  <c r="BH64" i="9" s="1"/>
  <c r="AU64" i="8"/>
  <c r="AW64" s="1"/>
  <c r="AX64" s="1"/>
  <c r="BM51"/>
  <c r="BM49"/>
  <c r="BM32"/>
  <c r="BM19"/>
  <c r="BM24"/>
  <c r="BM47"/>
  <c r="BI38"/>
  <c r="BJ38" s="1"/>
  <c r="BH38"/>
  <c r="BM30"/>
  <c r="BM52"/>
  <c r="BI28"/>
  <c r="BJ28" s="1"/>
  <c r="BH28"/>
  <c r="BH43"/>
  <c r="BI43"/>
  <c r="BJ43" s="1"/>
  <c r="BM54"/>
  <c r="BM34"/>
  <c r="BM45"/>
  <c r="BM46"/>
  <c r="BM25"/>
  <c r="BM11"/>
  <c r="BM14"/>
  <c r="BM31"/>
  <c r="BI18"/>
  <c r="BJ18" s="1"/>
  <c r="BH18"/>
  <c r="BM16"/>
  <c r="BM20"/>
  <c r="BI58"/>
  <c r="BJ58" s="1"/>
  <c r="BH58"/>
  <c r="BM22"/>
  <c r="BM13"/>
  <c r="BM21"/>
  <c r="BH48"/>
  <c r="BI48"/>
  <c r="BJ48" s="1"/>
  <c r="BM35"/>
  <c r="BM42"/>
  <c r="BM57"/>
  <c r="AL74"/>
  <c r="AX66" i="9"/>
  <c r="AY66" s="1"/>
  <c r="AZ66" s="1"/>
  <c r="BA66" s="1"/>
  <c r="BB66" s="1"/>
  <c r="AX65"/>
  <c r="AY65" s="1"/>
  <c r="AZ65" s="1"/>
  <c r="BA65" s="1"/>
  <c r="BB65" s="1"/>
  <c r="AX70"/>
  <c r="AY70" s="1"/>
  <c r="AZ70" s="1"/>
  <c r="BA70" s="1"/>
  <c r="BB70" s="1"/>
  <c r="AX69"/>
  <c r="AY69" s="1"/>
  <c r="AZ69" s="1"/>
  <c r="BA69" s="1"/>
  <c r="BB69" s="1"/>
  <c r="AP67"/>
  <c r="AQ67" s="1"/>
  <c r="AR67" s="1"/>
  <c r="AU67" s="1"/>
  <c r="AW67" s="1"/>
  <c r="AX63"/>
  <c r="AY63" s="1"/>
  <c r="AZ63" s="1"/>
  <c r="BA63" s="1"/>
  <c r="BB63" s="1"/>
  <c r="AP64"/>
  <c r="AQ64" s="1"/>
  <c r="AR64" s="1"/>
  <c r="AU64" s="1"/>
  <c r="AW64" s="1"/>
  <c r="AP68"/>
  <c r="AQ68" s="1"/>
  <c r="AR68" s="1"/>
  <c r="AU68" s="1"/>
  <c r="AW68" s="1"/>
  <c r="BH38" i="6"/>
  <c r="BI38" s="1"/>
  <c r="AK74" i="8"/>
  <c r="BH58" i="6"/>
  <c r="BI58" s="1"/>
  <c r="BH29" i="9"/>
  <c r="BH16"/>
  <c r="BI43"/>
  <c r="BH49"/>
  <c r="BH25"/>
  <c r="BH20"/>
  <c r="BH51"/>
  <c r="BH57"/>
  <c r="BH14"/>
  <c r="BH21"/>
  <c r="BH31"/>
  <c r="BH47"/>
  <c r="BH13"/>
  <c r="BH42"/>
  <c r="AU29" i="8"/>
  <c r="AW29" s="1"/>
  <c r="AX29" s="1"/>
  <c r="AY29" s="1"/>
  <c r="AZ29" s="1"/>
  <c r="BA29" s="1"/>
  <c r="BB29" s="1"/>
  <c r="BF29" s="1"/>
  <c r="BG29" s="1"/>
  <c r="AN67"/>
  <c r="AN72" s="1"/>
  <c r="AO72" s="1"/>
  <c r="AP72" s="1"/>
  <c r="BH30" i="9"/>
  <c r="BH46"/>
  <c r="BH19"/>
  <c r="BH11"/>
  <c r="BH22"/>
  <c r="BH45"/>
  <c r="BH32"/>
  <c r="BJ32" s="1"/>
  <c r="BH32" i="6"/>
  <c r="BH34" i="9"/>
  <c r="BH35"/>
  <c r="BH54"/>
  <c r="BH24"/>
  <c r="BH52"/>
  <c r="BJ52" s="1"/>
  <c r="AX16"/>
  <c r="AY16" s="1"/>
  <c r="AZ16" s="1"/>
  <c r="BA16" s="1"/>
  <c r="BB16" s="1"/>
  <c r="AX33"/>
  <c r="AY33" s="1"/>
  <c r="AZ33" s="1"/>
  <c r="BA33" s="1"/>
  <c r="BB33" s="1"/>
  <c r="AX12"/>
  <c r="AY12" s="1"/>
  <c r="AZ12" s="1"/>
  <c r="BA12" s="1"/>
  <c r="BB12" s="1"/>
  <c r="AX28"/>
  <c r="AY28" s="1"/>
  <c r="AZ28" s="1"/>
  <c r="BA28" s="1"/>
  <c r="BB28" s="1"/>
  <c r="AX43"/>
  <c r="AY43" s="1"/>
  <c r="AZ43" s="1"/>
  <c r="BA43" s="1"/>
  <c r="BB43" s="1"/>
  <c r="AX20"/>
  <c r="AY20" s="1"/>
  <c r="AZ20" s="1"/>
  <c r="BA20" s="1"/>
  <c r="BB20" s="1"/>
  <c r="AX48"/>
  <c r="AY48" s="1"/>
  <c r="AZ48" s="1"/>
  <c r="BA48" s="1"/>
  <c r="BB48" s="1"/>
  <c r="AX53"/>
  <c r="AY53" s="1"/>
  <c r="AZ53" s="1"/>
  <c r="BA53" s="1"/>
  <c r="BB53" s="1"/>
  <c r="AX34"/>
  <c r="AY34" s="1"/>
  <c r="AZ34" s="1"/>
  <c r="BA34" s="1"/>
  <c r="BB34" s="1"/>
  <c r="AX49"/>
  <c r="AY49" s="1"/>
  <c r="AZ49" s="1"/>
  <c r="BA49" s="1"/>
  <c r="BB49" s="1"/>
  <c r="AX18"/>
  <c r="AY18" s="1"/>
  <c r="AZ18" s="1"/>
  <c r="BA18" s="1"/>
  <c r="BB18" s="1"/>
  <c r="AX44"/>
  <c r="AY44" s="1"/>
  <c r="AZ44" s="1"/>
  <c r="BA44" s="1"/>
  <c r="BB44" s="1"/>
  <c r="AX11"/>
  <c r="AY11" s="1"/>
  <c r="AZ11" s="1"/>
  <c r="BA11" s="1"/>
  <c r="BB11" s="1"/>
  <c r="AX55"/>
  <c r="AY55" s="1"/>
  <c r="AZ55" s="1"/>
  <c r="BA55" s="1"/>
  <c r="BB55" s="1"/>
  <c r="AX39"/>
  <c r="AY39" s="1"/>
  <c r="AZ39" s="1"/>
  <c r="BA39" s="1"/>
  <c r="BB39" s="1"/>
  <c r="AX46"/>
  <c r="AY46" s="1"/>
  <c r="AZ46" s="1"/>
  <c r="BA46" s="1"/>
  <c r="BB46" s="1"/>
  <c r="AX50"/>
  <c r="AY50" s="1"/>
  <c r="AZ50" s="1"/>
  <c r="BA50" s="1"/>
  <c r="BB50" s="1"/>
  <c r="AX47"/>
  <c r="AY47" s="1"/>
  <c r="AZ47" s="1"/>
  <c r="BA47" s="1"/>
  <c r="BB47" s="1"/>
  <c r="AX26"/>
  <c r="AY26" s="1"/>
  <c r="AZ26" s="1"/>
  <c r="BA26" s="1"/>
  <c r="BB26" s="1"/>
  <c r="AX17"/>
  <c r="AY17" s="1"/>
  <c r="AZ17" s="1"/>
  <c r="BA17" s="1"/>
  <c r="BB17" s="1"/>
  <c r="AX51"/>
  <c r="AY51" s="1"/>
  <c r="AZ51" s="1"/>
  <c r="BA51" s="1"/>
  <c r="BB51" s="1"/>
  <c r="AX14"/>
  <c r="AY14" s="1"/>
  <c r="AZ14" s="1"/>
  <c r="BA14" s="1"/>
  <c r="BB14" s="1"/>
  <c r="AX30"/>
  <c r="AY30" s="1"/>
  <c r="AZ30" s="1"/>
  <c r="BA30" s="1"/>
  <c r="BB30" s="1"/>
  <c r="AX13"/>
  <c r="AY13" s="1"/>
  <c r="AZ13" s="1"/>
  <c r="BA13" s="1"/>
  <c r="BB13" s="1"/>
  <c r="AX37"/>
  <c r="AY37" s="1"/>
  <c r="AZ37" s="1"/>
  <c r="BA37" s="1"/>
  <c r="BB37" s="1"/>
  <c r="AX25"/>
  <c r="AY25" s="1"/>
  <c r="AZ25" s="1"/>
  <c r="BA25" s="1"/>
  <c r="BB25" s="1"/>
  <c r="AX10"/>
  <c r="AY10" s="1"/>
  <c r="AZ10" s="1"/>
  <c r="BA10" s="1"/>
  <c r="BB10" s="1"/>
  <c r="AX56"/>
  <c r="AY56" s="1"/>
  <c r="AZ56" s="1"/>
  <c r="BA56" s="1"/>
  <c r="BB56" s="1"/>
  <c r="AX31"/>
  <c r="AY31" s="1"/>
  <c r="AZ31" s="1"/>
  <c r="BA31" s="1"/>
  <c r="BB31" s="1"/>
  <c r="AX58"/>
  <c r="AY58" s="1"/>
  <c r="AZ58" s="1"/>
  <c r="BA58" s="1"/>
  <c r="BB58" s="1"/>
  <c r="AX32"/>
  <c r="AY32" s="1"/>
  <c r="AZ32" s="1"/>
  <c r="BA32" s="1"/>
  <c r="BB32" s="1"/>
  <c r="AX29"/>
  <c r="AY29" s="1"/>
  <c r="AZ29" s="1"/>
  <c r="BA29" s="1"/>
  <c r="BB29" s="1"/>
  <c r="AX42"/>
  <c r="AY42" s="1"/>
  <c r="AZ42" s="1"/>
  <c r="BA42" s="1"/>
  <c r="BB42" s="1"/>
  <c r="AX22"/>
  <c r="AY22" s="1"/>
  <c r="AZ22" s="1"/>
  <c r="BA22" s="1"/>
  <c r="BB22" s="1"/>
  <c r="AX52"/>
  <c r="AY52" s="1"/>
  <c r="AZ52" s="1"/>
  <c r="BA52" s="1"/>
  <c r="BB52" s="1"/>
  <c r="AX38"/>
  <c r="AY38" s="1"/>
  <c r="AZ38" s="1"/>
  <c r="BA38" s="1"/>
  <c r="BB38" s="1"/>
  <c r="AK74"/>
  <c r="BD39" i="6"/>
  <c r="BE39" s="1"/>
  <c r="BF39" s="1"/>
  <c r="AU39" i="8"/>
  <c r="AW39" s="1"/>
  <c r="AX39" s="1"/>
  <c r="AY39" s="1"/>
  <c r="AZ39" s="1"/>
  <c r="BA39" s="1"/>
  <c r="BB39" s="1"/>
  <c r="BF39" s="1"/>
  <c r="BG39" s="1"/>
  <c r="AU41" i="9"/>
  <c r="AW41" s="1"/>
  <c r="AU41" i="6"/>
  <c r="AW41" s="1"/>
  <c r="AX41" s="1"/>
  <c r="BD37"/>
  <c r="BE37" s="1"/>
  <c r="BF37" s="1"/>
  <c r="AU37" i="8"/>
  <c r="AW37" s="1"/>
  <c r="AX37" s="1"/>
  <c r="AY37" s="1"/>
  <c r="AZ37" s="1"/>
  <c r="BA37" s="1"/>
  <c r="BB37" s="1"/>
  <c r="BF37" s="1"/>
  <c r="BG37" s="1"/>
  <c r="AU12" i="6"/>
  <c r="AW12" s="1"/>
  <c r="AX12" s="1"/>
  <c r="AU55" i="8"/>
  <c r="AW55" s="1"/>
  <c r="AX55" s="1"/>
  <c r="AY55" s="1"/>
  <c r="AZ55" s="1"/>
  <c r="BA55" s="1"/>
  <c r="BB55" s="1"/>
  <c r="BF55" s="1"/>
  <c r="BG55" s="1"/>
  <c r="BD55" i="6"/>
  <c r="BE55" s="1"/>
  <c r="BF55" s="1"/>
  <c r="AU51"/>
  <c r="AW51" s="1"/>
  <c r="AX51" s="1"/>
  <c r="AU23"/>
  <c r="AW23" s="1"/>
  <c r="AX23" s="1"/>
  <c r="AU68"/>
  <c r="AW68" s="1"/>
  <c r="AX68" s="1"/>
  <c r="AU53" i="8"/>
  <c r="AW53" s="1"/>
  <c r="AX53" s="1"/>
  <c r="AY53" s="1"/>
  <c r="AZ53" s="1"/>
  <c r="BA53" s="1"/>
  <c r="BB53" s="1"/>
  <c r="BF53" s="1"/>
  <c r="BG53" s="1"/>
  <c r="BD53" i="6"/>
  <c r="BE53" s="1"/>
  <c r="BF53" s="1"/>
  <c r="AU35" i="9"/>
  <c r="AW35" s="1"/>
  <c r="BD15" i="6"/>
  <c r="BE15" s="1"/>
  <c r="BF15" s="1"/>
  <c r="AU15" i="8"/>
  <c r="AW15" s="1"/>
  <c r="AX15" s="1"/>
  <c r="AY15" s="1"/>
  <c r="AZ15" s="1"/>
  <c r="BA15" s="1"/>
  <c r="BB15" s="1"/>
  <c r="BF15" s="1"/>
  <c r="BG15" s="1"/>
  <c r="AU21" i="6"/>
  <c r="AW21" s="1"/>
  <c r="AX21" s="1"/>
  <c r="AU15" i="9"/>
  <c r="AW15" s="1"/>
  <c r="AU40"/>
  <c r="AW40" s="1"/>
  <c r="AU32" i="6"/>
  <c r="AW32" s="1"/>
  <c r="AX32" s="1"/>
  <c r="AU11"/>
  <c r="AW11" s="1"/>
  <c r="AX11" s="1"/>
  <c r="AU46"/>
  <c r="AW46" s="1"/>
  <c r="AX46" s="1"/>
  <c r="AU50" i="8"/>
  <c r="AW50" s="1"/>
  <c r="AX50" s="1"/>
  <c r="AY50" s="1"/>
  <c r="AZ50" s="1"/>
  <c r="BA50" s="1"/>
  <c r="BB50" s="1"/>
  <c r="BF50" s="1"/>
  <c r="BG50" s="1"/>
  <c r="BD50" i="6"/>
  <c r="BE50" s="1"/>
  <c r="BF50" s="1"/>
  <c r="AU45"/>
  <c r="AW45" s="1"/>
  <c r="AX45" s="1"/>
  <c r="AU27" i="8"/>
  <c r="AW27" s="1"/>
  <c r="AX27" s="1"/>
  <c r="AY27" s="1"/>
  <c r="AZ27" s="1"/>
  <c r="BA27" s="1"/>
  <c r="BB27" s="1"/>
  <c r="BF27" s="1"/>
  <c r="BG27" s="1"/>
  <c r="BD27" i="6"/>
  <c r="BE27" s="1"/>
  <c r="BF27" s="1"/>
  <c r="AU70"/>
  <c r="AW70" s="1"/>
  <c r="AX70" s="1"/>
  <c r="AU15"/>
  <c r="AW15" s="1"/>
  <c r="AX15" s="1"/>
  <c r="AU65"/>
  <c r="AW65" s="1"/>
  <c r="AX65" s="1"/>
  <c r="AU57" i="9"/>
  <c r="AW57" s="1"/>
  <c r="AU36" i="8"/>
  <c r="AW36" s="1"/>
  <c r="AX36" s="1"/>
  <c r="AY36" s="1"/>
  <c r="AZ36" s="1"/>
  <c r="BA36" s="1"/>
  <c r="BB36" s="1"/>
  <c r="BF36" s="1"/>
  <c r="BG36" s="1"/>
  <c r="BD36" i="6"/>
  <c r="BE36" s="1"/>
  <c r="BF36" s="1"/>
  <c r="AU10" i="8"/>
  <c r="AW10" s="1"/>
  <c r="AX10" s="1"/>
  <c r="AY10" s="1"/>
  <c r="AZ10" s="1"/>
  <c r="BA10" s="1"/>
  <c r="BB10" s="1"/>
  <c r="BF10" s="1"/>
  <c r="BG10" s="1"/>
  <c r="BD10" i="6"/>
  <c r="BE10" s="1"/>
  <c r="BF10" s="1"/>
  <c r="AU45" i="9"/>
  <c r="AW45" s="1"/>
  <c r="AU17" i="8"/>
  <c r="AW17" s="1"/>
  <c r="AX17" s="1"/>
  <c r="AY17" s="1"/>
  <c r="AZ17" s="1"/>
  <c r="BA17" s="1"/>
  <c r="BB17" s="1"/>
  <c r="BF17" s="1"/>
  <c r="BG17" s="1"/>
  <c r="BD17" i="6"/>
  <c r="BE17" s="1"/>
  <c r="BF17" s="1"/>
  <c r="AU43"/>
  <c r="AW43" s="1"/>
  <c r="AX43" s="1"/>
  <c r="AU48"/>
  <c r="AW48" s="1"/>
  <c r="AX48" s="1"/>
  <c r="BH48" s="1"/>
  <c r="AU67"/>
  <c r="AW67" s="1"/>
  <c r="AX67" s="1"/>
  <c r="AY36"/>
  <c r="AZ36" s="1"/>
  <c r="AY42"/>
  <c r="AZ42" s="1"/>
  <c r="BG24"/>
  <c r="AY30"/>
  <c r="AZ30" s="1"/>
  <c r="AY31"/>
  <c r="AZ31" s="1"/>
  <c r="BG52"/>
  <c r="BH52" s="1"/>
  <c r="BI52" s="1"/>
  <c r="BD63"/>
  <c r="AU63" i="8"/>
  <c r="BG42" i="6"/>
  <c r="BH42" s="1"/>
  <c r="AN60" i="8"/>
  <c r="AO9"/>
  <c r="AP9" s="1"/>
  <c r="AQ9" s="1"/>
  <c r="AN72" i="6"/>
  <c r="AO72" s="1"/>
  <c r="AP72" s="1"/>
  <c r="AO62"/>
  <c r="AP62" s="1"/>
  <c r="AQ62" s="1"/>
  <c r="AY25"/>
  <c r="AZ25" s="1"/>
  <c r="AY64"/>
  <c r="AZ64" s="1"/>
  <c r="AU33" i="8"/>
  <c r="AW33" s="1"/>
  <c r="AX33" s="1"/>
  <c r="AY33" s="1"/>
  <c r="AZ33" s="1"/>
  <c r="BA33" s="1"/>
  <c r="BB33" s="1"/>
  <c r="BF33" s="1"/>
  <c r="BG33" s="1"/>
  <c r="BD33" i="6"/>
  <c r="BE33" s="1"/>
  <c r="BF33" s="1"/>
  <c r="AY55"/>
  <c r="AZ55" s="1"/>
  <c r="BG13"/>
  <c r="AY24"/>
  <c r="AZ24" s="1"/>
  <c r="AY22"/>
  <c r="AZ22" s="1"/>
  <c r="AU40" i="8"/>
  <c r="AW40" s="1"/>
  <c r="AX40" s="1"/>
  <c r="AY40" s="1"/>
  <c r="AZ40" s="1"/>
  <c r="BA40" s="1"/>
  <c r="BB40" s="1"/>
  <c r="BF40" s="1"/>
  <c r="BG40" s="1"/>
  <c r="BD40" i="6"/>
  <c r="BE40" s="1"/>
  <c r="BF40" s="1"/>
  <c r="AY56"/>
  <c r="AZ56" s="1"/>
  <c r="AU49"/>
  <c r="AW49" s="1"/>
  <c r="AX49" s="1"/>
  <c r="AY54"/>
  <c r="AZ54" s="1"/>
  <c r="AY20"/>
  <c r="AZ20" s="1"/>
  <c r="BG29"/>
  <c r="BG21"/>
  <c r="AY69"/>
  <c r="AZ69" s="1"/>
  <c r="AU23" i="9"/>
  <c r="AW23" s="1"/>
  <c r="AY66" i="6"/>
  <c r="AZ66" s="1"/>
  <c r="AY17"/>
  <c r="AZ17" s="1"/>
  <c r="BG11"/>
  <c r="AY35"/>
  <c r="AZ35" s="1"/>
  <c r="AY27"/>
  <c r="AZ27" s="1"/>
  <c r="AY57"/>
  <c r="AZ57" s="1"/>
  <c r="BG47"/>
  <c r="AY13"/>
  <c r="AZ13" s="1"/>
  <c r="AY53"/>
  <c r="AZ53" s="1"/>
  <c r="BG14"/>
  <c r="BH14" s="1"/>
  <c r="AY33"/>
  <c r="AZ33" s="1"/>
  <c r="BG31"/>
  <c r="BH31" s="1"/>
  <c r="BG16"/>
  <c r="BG34"/>
  <c r="AN62" i="9"/>
  <c r="AL72"/>
  <c r="AL74" s="1"/>
  <c r="AN9" i="6"/>
  <c r="AL60"/>
  <c r="AL74" s="1"/>
  <c r="BG45"/>
  <c r="AY26"/>
  <c r="AZ26" s="1"/>
  <c r="BD44"/>
  <c r="BE44" s="1"/>
  <c r="BF44" s="1"/>
  <c r="AU44" i="8"/>
  <c r="AW44" s="1"/>
  <c r="AX44" s="1"/>
  <c r="AY44" s="1"/>
  <c r="AZ44" s="1"/>
  <c r="BA44" s="1"/>
  <c r="BB44" s="1"/>
  <c r="BF44" s="1"/>
  <c r="BG44" s="1"/>
  <c r="BG19" i="6"/>
  <c r="BH19" s="1"/>
  <c r="AK74"/>
  <c r="BG30"/>
  <c r="BH30" s="1"/>
  <c r="AU16"/>
  <c r="AW16" s="1"/>
  <c r="AX16" s="1"/>
  <c r="AY14"/>
  <c r="AZ14" s="1"/>
  <c r="AY58"/>
  <c r="AZ58" s="1"/>
  <c r="BG32"/>
  <c r="AY39"/>
  <c r="AZ39" s="1"/>
  <c r="AY50"/>
  <c r="AZ50" s="1"/>
  <c r="AO9" i="9"/>
  <c r="AP9" s="1"/>
  <c r="AQ9" s="1"/>
  <c r="AY38" i="6"/>
  <c r="AZ38" s="1"/>
  <c r="AY44"/>
  <c r="AZ44" s="1"/>
  <c r="AU36" i="9"/>
  <c r="AW36" s="1"/>
  <c r="BG51" i="6"/>
  <c r="BG20"/>
  <c r="BH20" s="1"/>
  <c r="BI20" s="1"/>
  <c r="AY34"/>
  <c r="AZ34" s="1"/>
  <c r="AU29"/>
  <c r="AW29" s="1"/>
  <c r="AX29" s="1"/>
  <c r="BD26"/>
  <c r="BE26" s="1"/>
  <c r="BF26" s="1"/>
  <c r="AU26" i="8"/>
  <c r="AW26" s="1"/>
  <c r="AX26" s="1"/>
  <c r="AY26" s="1"/>
  <c r="AZ26" s="1"/>
  <c r="BA26" s="1"/>
  <c r="BB26" s="1"/>
  <c r="BF26" s="1"/>
  <c r="BG26" s="1"/>
  <c r="AU47" i="6"/>
  <c r="AW47" s="1"/>
  <c r="AX47" s="1"/>
  <c r="AU21" i="9"/>
  <c r="AW21" s="1"/>
  <c r="BG57" i="6"/>
  <c r="BH57" s="1"/>
  <c r="BG35"/>
  <c r="BH35" s="1"/>
  <c r="BG46"/>
  <c r="AY37"/>
  <c r="AZ37" s="1"/>
  <c r="AU28"/>
  <c r="AW28" s="1"/>
  <c r="AX28" s="1"/>
  <c r="AU27" i="9"/>
  <c r="AW27" s="1"/>
  <c r="AU23" i="8"/>
  <c r="AW23" s="1"/>
  <c r="AX23" s="1"/>
  <c r="AY23" s="1"/>
  <c r="AZ23" s="1"/>
  <c r="BA23" s="1"/>
  <c r="BB23" s="1"/>
  <c r="BF23" s="1"/>
  <c r="BG23" s="1"/>
  <c r="BD23" i="6"/>
  <c r="BE23" s="1"/>
  <c r="BF23" s="1"/>
  <c r="BG22"/>
  <c r="AU63"/>
  <c r="AW63" s="1"/>
  <c r="AX63" s="1"/>
  <c r="AU56" i="8"/>
  <c r="AW56" s="1"/>
  <c r="AX56" s="1"/>
  <c r="AY56" s="1"/>
  <c r="AZ56" s="1"/>
  <c r="BA56" s="1"/>
  <c r="BB56" s="1"/>
  <c r="BF56" s="1"/>
  <c r="BG56" s="1"/>
  <c r="BD56" i="6"/>
  <c r="BE56" s="1"/>
  <c r="BF56" s="1"/>
  <c r="AU12" i="8"/>
  <c r="AW12" s="1"/>
  <c r="AX12" s="1"/>
  <c r="AY12" s="1"/>
  <c r="AZ12" s="1"/>
  <c r="BA12" s="1"/>
  <c r="BB12" s="1"/>
  <c r="BF12" s="1"/>
  <c r="BG12" s="1"/>
  <c r="BD12" i="6"/>
  <c r="BE12" s="1"/>
  <c r="BF12" s="1"/>
  <c r="BG25"/>
  <c r="BH25" s="1"/>
  <c r="BD41"/>
  <c r="BE41" s="1"/>
  <c r="BF41" s="1"/>
  <c r="AU41" i="8"/>
  <c r="AW41" s="1"/>
  <c r="AX41" s="1"/>
  <c r="AY41" s="1"/>
  <c r="AZ41" s="1"/>
  <c r="BA41" s="1"/>
  <c r="BB41" s="1"/>
  <c r="BF41" s="1"/>
  <c r="BG41" s="1"/>
  <c r="AY19" i="6"/>
  <c r="AZ19" s="1"/>
  <c r="AY10"/>
  <c r="AZ10" s="1"/>
  <c r="BG49"/>
  <c r="BG54"/>
  <c r="AN19" i="9"/>
  <c r="AO19" s="1"/>
  <c r="AP19" s="1"/>
  <c r="AQ19" s="1"/>
  <c r="AR19" s="1"/>
  <c r="AY40" i="6"/>
  <c r="AZ40" s="1"/>
  <c r="BI18"/>
  <c r="AY18"/>
  <c r="AZ18" s="1"/>
  <c r="BG65" l="1"/>
  <c r="BH65" s="1"/>
  <c r="BI65" s="1"/>
  <c r="BG66"/>
  <c r="BH66" s="1"/>
  <c r="BI66" s="1"/>
  <c r="BJ66" s="1"/>
  <c r="BK66" s="1"/>
  <c r="BA36"/>
  <c r="BB36" s="1"/>
  <c r="BA17"/>
  <c r="BB17" s="1"/>
  <c r="BA27"/>
  <c r="BB27" s="1"/>
  <c r="BA42"/>
  <c r="BB42" s="1"/>
  <c r="BA38"/>
  <c r="BB38" s="1"/>
  <c r="BA69"/>
  <c r="BB69" s="1"/>
  <c r="BA50"/>
  <c r="BB50" s="1"/>
  <c r="BA34"/>
  <c r="BB34" s="1"/>
  <c r="BA13"/>
  <c r="BB13" s="1"/>
  <c r="BA26"/>
  <c r="BB26" s="1"/>
  <c r="BA53"/>
  <c r="BB53" s="1"/>
  <c r="BA56"/>
  <c r="BB56" s="1"/>
  <c r="BB44"/>
  <c r="BA44"/>
  <c r="BB64"/>
  <c r="BA64"/>
  <c r="BA37"/>
  <c r="BB37" s="1"/>
  <c r="BA35"/>
  <c r="BB35" s="1"/>
  <c r="BA33"/>
  <c r="BB33" s="1"/>
  <c r="BA54"/>
  <c r="BB54" s="1"/>
  <c r="BG64"/>
  <c r="BH64" s="1"/>
  <c r="BI64" s="1"/>
  <c r="BJ64" s="1"/>
  <c r="BK64" s="1"/>
  <c r="BA55"/>
  <c r="BB55" s="1"/>
  <c r="BA40"/>
  <c r="BB40" s="1"/>
  <c r="BA24"/>
  <c r="BB24" s="1"/>
  <c r="BA57"/>
  <c r="BB57" s="1"/>
  <c r="BA14"/>
  <c r="BB14" s="1"/>
  <c r="BA20"/>
  <c r="BB20" s="1"/>
  <c r="BA19"/>
  <c r="BB19" s="1"/>
  <c r="BA10"/>
  <c r="BB10" s="1"/>
  <c r="BA18"/>
  <c r="BB18" s="1"/>
  <c r="BA58"/>
  <c r="BB58" s="1"/>
  <c r="BA39"/>
  <c r="BB39" s="1"/>
  <c r="BA66"/>
  <c r="BB66" s="1"/>
  <c r="BB30"/>
  <c r="BA30"/>
  <c r="BB31"/>
  <c r="BA31"/>
  <c r="BA22"/>
  <c r="BB22" s="1"/>
  <c r="BA25"/>
  <c r="BB25" s="1"/>
  <c r="BH45"/>
  <c r="BI45" s="1"/>
  <c r="BG69"/>
  <c r="BH69" s="1"/>
  <c r="BI69" s="1"/>
  <c r="BJ69" s="1"/>
  <c r="BK69" s="1"/>
  <c r="BG68"/>
  <c r="BH68" s="1"/>
  <c r="BI68" s="1"/>
  <c r="BH70" i="9"/>
  <c r="BG70" i="6"/>
  <c r="BH70" s="1"/>
  <c r="BI70" s="1"/>
  <c r="BM68" i="8"/>
  <c r="BM56"/>
  <c r="AY66"/>
  <c r="AZ66" s="1"/>
  <c r="BA66" s="1"/>
  <c r="BB66" s="1"/>
  <c r="BF66" s="1"/>
  <c r="BG66" s="1"/>
  <c r="BM50"/>
  <c r="BM55"/>
  <c r="BI31"/>
  <c r="BJ31" s="1"/>
  <c r="BH31"/>
  <c r="BI19"/>
  <c r="BJ19" s="1"/>
  <c r="BH19"/>
  <c r="BM12"/>
  <c r="AY69"/>
  <c r="AZ69" s="1"/>
  <c r="BA69" s="1"/>
  <c r="BB69" s="1"/>
  <c r="BF69" s="1"/>
  <c r="BG69" s="1"/>
  <c r="BM26"/>
  <c r="BI54"/>
  <c r="BJ54" s="1"/>
  <c r="BH54"/>
  <c r="BI24"/>
  <c r="BJ24" s="1"/>
  <c r="BH24"/>
  <c r="BM27"/>
  <c r="BM29"/>
  <c r="BI35"/>
  <c r="BJ35" s="1"/>
  <c r="BH35"/>
  <c r="BI16"/>
  <c r="BJ16" s="1"/>
  <c r="BH16"/>
  <c r="BI34"/>
  <c r="BJ34" s="1"/>
  <c r="BH34"/>
  <c r="BH47"/>
  <c r="BI47"/>
  <c r="BJ47" s="1"/>
  <c r="AY65"/>
  <c r="AZ65" s="1"/>
  <c r="BA65" s="1"/>
  <c r="BB65" s="1"/>
  <c r="BF65" s="1"/>
  <c r="BG65" s="1"/>
  <c r="BM53"/>
  <c r="BH62" i="9"/>
  <c r="BG62" i="6"/>
  <c r="BM41" i="8"/>
  <c r="BM33"/>
  <c r="BI42"/>
  <c r="BJ42" s="1"/>
  <c r="BH42"/>
  <c r="BI20"/>
  <c r="BJ20" s="1"/>
  <c r="BH20"/>
  <c r="BI45"/>
  <c r="BJ45" s="1"/>
  <c r="BH45"/>
  <c r="AY62"/>
  <c r="AZ62" s="1"/>
  <c r="BA62" s="1"/>
  <c r="BB62" s="1"/>
  <c r="BF62" s="1"/>
  <c r="BG62" s="1"/>
  <c r="BI57"/>
  <c r="BJ57" s="1"/>
  <c r="BH57"/>
  <c r="BI46"/>
  <c r="BJ46" s="1"/>
  <c r="BH46"/>
  <c r="BI30"/>
  <c r="BJ30" s="1"/>
  <c r="BH30"/>
  <c r="AY64"/>
  <c r="AZ64" s="1"/>
  <c r="BA64" s="1"/>
  <c r="BB64" s="1"/>
  <c r="BF64" s="1"/>
  <c r="BG64" s="1"/>
  <c r="BM36"/>
  <c r="BM15"/>
  <c r="BM39"/>
  <c r="BI22"/>
  <c r="BJ22" s="1"/>
  <c r="BH22"/>
  <c r="BI25"/>
  <c r="BJ25" s="1"/>
  <c r="BH25"/>
  <c r="BI52"/>
  <c r="BJ52" s="1"/>
  <c r="BH52"/>
  <c r="BI51"/>
  <c r="BJ51" s="1"/>
  <c r="BH51"/>
  <c r="BM23"/>
  <c r="BM10"/>
  <c r="BM70"/>
  <c r="BI13"/>
  <c r="BJ13" s="1"/>
  <c r="BH13"/>
  <c r="BH11"/>
  <c r="BI11"/>
  <c r="BJ11" s="1"/>
  <c r="BI49"/>
  <c r="BJ49" s="1"/>
  <c r="BH49"/>
  <c r="BM44"/>
  <c r="BM40"/>
  <c r="BM17"/>
  <c r="BM37"/>
  <c r="BI21"/>
  <c r="BJ21" s="1"/>
  <c r="BH21"/>
  <c r="BI14"/>
  <c r="BJ14" s="1"/>
  <c r="BH14"/>
  <c r="BH32"/>
  <c r="BI32"/>
  <c r="BJ32" s="1"/>
  <c r="AX67" i="9"/>
  <c r="AY67" s="1"/>
  <c r="AZ67" s="1"/>
  <c r="BA67" s="1"/>
  <c r="BB67" s="1"/>
  <c r="AX64"/>
  <c r="AY64" s="1"/>
  <c r="AZ64" s="1"/>
  <c r="BA64" s="1"/>
  <c r="BB64" s="1"/>
  <c r="AX68"/>
  <c r="AY68" s="1"/>
  <c r="AZ68" s="1"/>
  <c r="BA68" s="1"/>
  <c r="BB68" s="1"/>
  <c r="BH11" i="6"/>
  <c r="BI11" s="1"/>
  <c r="BH46"/>
  <c r="BI46" s="1"/>
  <c r="BH21"/>
  <c r="BI21" s="1"/>
  <c r="BH51"/>
  <c r="BI51" s="1"/>
  <c r="BH29"/>
  <c r="BI29" s="1"/>
  <c r="BH49"/>
  <c r="BI49" s="1"/>
  <c r="BH16"/>
  <c r="BI16" s="1"/>
  <c r="BH47"/>
  <c r="BI47" s="1"/>
  <c r="BI32" i="9"/>
  <c r="BH17"/>
  <c r="BH50"/>
  <c r="BH10"/>
  <c r="BH23" i="6"/>
  <c r="BI23" s="1"/>
  <c r="BH23" i="9"/>
  <c r="BJ23" s="1"/>
  <c r="BH53"/>
  <c r="BI42" i="6"/>
  <c r="BJ42" s="1"/>
  <c r="BK42" s="1"/>
  <c r="BH34"/>
  <c r="BI34" s="1"/>
  <c r="BJ34" s="1"/>
  <c r="BK34" s="1"/>
  <c r="BH40" i="9"/>
  <c r="BH27"/>
  <c r="AO67" i="8"/>
  <c r="BH26" i="9"/>
  <c r="BH15"/>
  <c r="BG39" i="6"/>
  <c r="BH39" i="9"/>
  <c r="BI31" i="6"/>
  <c r="BJ31" s="1"/>
  <c r="BK31" s="1"/>
  <c r="BH54"/>
  <c r="BI54" s="1"/>
  <c r="BJ54" s="1"/>
  <c r="BK54" s="1"/>
  <c r="BI19"/>
  <c r="BJ19" s="1"/>
  <c r="BK19" s="1"/>
  <c r="BH55" i="9"/>
  <c r="BH56"/>
  <c r="BH12"/>
  <c r="BI30" i="6"/>
  <c r="BJ30" s="1"/>
  <c r="BK30" s="1"/>
  <c r="BI14"/>
  <c r="BJ14" s="1"/>
  <c r="BK14" s="1"/>
  <c r="BH37" i="9"/>
  <c r="BI57" i="6"/>
  <c r="BJ57" s="1"/>
  <c r="BK57" s="1"/>
  <c r="BH44" i="9"/>
  <c r="BH33"/>
  <c r="BH36"/>
  <c r="BI25" i="6"/>
  <c r="BJ25" s="1"/>
  <c r="BK25" s="1"/>
  <c r="BI35"/>
  <c r="BJ35" s="1"/>
  <c r="BK35" s="1"/>
  <c r="BH41" i="9"/>
  <c r="BJ41" s="1"/>
  <c r="BH41" i="6"/>
  <c r="BI41" s="1"/>
  <c r="BH24"/>
  <c r="BI24" s="1"/>
  <c r="BJ24" s="1"/>
  <c r="BK24" s="1"/>
  <c r="BH22"/>
  <c r="BI22" s="1"/>
  <c r="BJ22" s="1"/>
  <c r="BK22" s="1"/>
  <c r="BH13"/>
  <c r="BI13" s="1"/>
  <c r="BJ13" s="1"/>
  <c r="BK13" s="1"/>
  <c r="AX27" i="9"/>
  <c r="AY27" s="1"/>
  <c r="AZ27" s="1"/>
  <c r="BA27" s="1"/>
  <c r="BB27" s="1"/>
  <c r="AX41"/>
  <c r="AY41" s="1"/>
  <c r="AZ41" s="1"/>
  <c r="BA41" s="1"/>
  <c r="BB41" s="1"/>
  <c r="AX21"/>
  <c r="AY21" s="1"/>
  <c r="AZ21" s="1"/>
  <c r="BA21" s="1"/>
  <c r="BB21" s="1"/>
  <c r="AX57"/>
  <c r="AY57" s="1"/>
  <c r="AZ57" s="1"/>
  <c r="BA57" s="1"/>
  <c r="BB57" s="1"/>
  <c r="AX15"/>
  <c r="AY15" s="1"/>
  <c r="AZ15" s="1"/>
  <c r="BA15" s="1"/>
  <c r="BB15" s="1"/>
  <c r="AX40"/>
  <c r="AY40" s="1"/>
  <c r="AZ40" s="1"/>
  <c r="BA40" s="1"/>
  <c r="BB40" s="1"/>
  <c r="AX45"/>
  <c r="AY45" s="1"/>
  <c r="AZ45" s="1"/>
  <c r="BA45" s="1"/>
  <c r="BB45" s="1"/>
  <c r="AX35"/>
  <c r="AY35" s="1"/>
  <c r="AZ35" s="1"/>
  <c r="BA35" s="1"/>
  <c r="BB35" s="1"/>
  <c r="AX23"/>
  <c r="AY23" s="1"/>
  <c r="AZ23" s="1"/>
  <c r="BA23" s="1"/>
  <c r="BB23" s="1"/>
  <c r="AX36"/>
  <c r="AY36" s="1"/>
  <c r="AZ36" s="1"/>
  <c r="BA36" s="1"/>
  <c r="BB36" s="1"/>
  <c r="BJ38" i="6"/>
  <c r="BK38" s="1"/>
  <c r="BJ52"/>
  <c r="BK52" s="1"/>
  <c r="BL52" s="1"/>
  <c r="BN52" s="1"/>
  <c r="BO52" s="1"/>
  <c r="BJ18"/>
  <c r="BK18" s="1"/>
  <c r="BJ20"/>
  <c r="BK20" s="1"/>
  <c r="BJ58"/>
  <c r="BK58" s="1"/>
  <c r="AY16"/>
  <c r="AZ16" s="1"/>
  <c r="BG40"/>
  <c r="BH40" s="1"/>
  <c r="AY43"/>
  <c r="AZ43" s="1"/>
  <c r="BI43"/>
  <c r="AY23"/>
  <c r="AZ23" s="1"/>
  <c r="BG50"/>
  <c r="BH50" s="1"/>
  <c r="BI48"/>
  <c r="AY48"/>
  <c r="AZ48" s="1"/>
  <c r="BG36"/>
  <c r="BH36" s="1"/>
  <c r="AY45"/>
  <c r="AZ45" s="1"/>
  <c r="AY68"/>
  <c r="AZ68" s="1"/>
  <c r="AW63" i="8"/>
  <c r="AX63" s="1"/>
  <c r="AY49" i="6"/>
  <c r="AZ49" s="1"/>
  <c r="AY21"/>
  <c r="AZ21" s="1"/>
  <c r="AY41"/>
  <c r="AZ41" s="1"/>
  <c r="BG26"/>
  <c r="BG37"/>
  <c r="BH37" s="1"/>
  <c r="BG53"/>
  <c r="BH53" s="1"/>
  <c r="AO9"/>
  <c r="AP9" s="1"/>
  <c r="AQ9" s="1"/>
  <c r="AN60"/>
  <c r="BG33"/>
  <c r="AY67"/>
  <c r="AZ67" s="1"/>
  <c r="BG10"/>
  <c r="BG27"/>
  <c r="BH27" s="1"/>
  <c r="AO60" i="8"/>
  <c r="AP60" s="1"/>
  <c r="AN74"/>
  <c r="AO74" s="1"/>
  <c r="AP74" s="1"/>
  <c r="AQ60"/>
  <c r="AR9"/>
  <c r="AY70" i="6"/>
  <c r="AZ70" s="1"/>
  <c r="AY32"/>
  <c r="AZ32" s="1"/>
  <c r="BI32"/>
  <c r="AY12"/>
  <c r="AZ12" s="1"/>
  <c r="AY29"/>
  <c r="AZ29" s="1"/>
  <c r="AU19" i="9"/>
  <c r="AW19" s="1"/>
  <c r="AQ72" i="6"/>
  <c r="AR62"/>
  <c r="AN72" i="9"/>
  <c r="AO72" s="1"/>
  <c r="AP72" s="1"/>
  <c r="AO62"/>
  <c r="BG17" i="6"/>
  <c r="BH17" s="1"/>
  <c r="AY15"/>
  <c r="AZ15" s="1"/>
  <c r="AY11"/>
  <c r="AZ11" s="1"/>
  <c r="AQ60" i="9"/>
  <c r="AR9"/>
  <c r="AY65" i="6"/>
  <c r="AZ65" s="1"/>
  <c r="AY46"/>
  <c r="AZ46" s="1"/>
  <c r="BG56"/>
  <c r="BH56" s="1"/>
  <c r="BG23"/>
  <c r="AY47"/>
  <c r="AZ47" s="1"/>
  <c r="BG15"/>
  <c r="BG41"/>
  <c r="BE63"/>
  <c r="BF63" s="1"/>
  <c r="BH63" i="9" s="1"/>
  <c r="AN60"/>
  <c r="BG12" i="6"/>
  <c r="BI28"/>
  <c r="AY28"/>
  <c r="AZ28" s="1"/>
  <c r="BG55"/>
  <c r="BH55" s="1"/>
  <c r="AY63"/>
  <c r="AZ63" s="1"/>
  <c r="AY51"/>
  <c r="AZ51" s="1"/>
  <c r="BG44"/>
  <c r="BH44" s="1"/>
  <c r="BL25" l="1"/>
  <c r="BN25" s="1"/>
  <c r="BO25" s="1"/>
  <c r="BL35"/>
  <c r="BN35" s="1"/>
  <c r="BO35" s="1"/>
  <c r="BL66"/>
  <c r="BN66" s="1"/>
  <c r="BO66" s="1"/>
  <c r="BL58"/>
  <c r="BN58" s="1"/>
  <c r="BO58" s="1"/>
  <c r="BL57"/>
  <c r="BN57" s="1"/>
  <c r="BO57" s="1"/>
  <c r="BP57" s="1"/>
  <c r="BQ57" s="1"/>
  <c r="BR57" s="1"/>
  <c r="BD57" i="9" s="1"/>
  <c r="BE57" s="1"/>
  <c r="BL19" i="6"/>
  <c r="BN19" s="1"/>
  <c r="BO19" s="1"/>
  <c r="BP19" s="1"/>
  <c r="BQ19" s="1"/>
  <c r="BR19" s="1"/>
  <c r="BD19" i="9" s="1"/>
  <c r="BE19" s="1"/>
  <c r="BF19" s="1"/>
  <c r="BL31" i="6"/>
  <c r="BN31" s="1"/>
  <c r="BO31" s="1"/>
  <c r="BL13"/>
  <c r="BN13" s="1"/>
  <c r="BO13" s="1"/>
  <c r="BP13" s="1"/>
  <c r="BQ13" s="1"/>
  <c r="BR13" s="1"/>
  <c r="BD13" i="9" s="1"/>
  <c r="BE13" s="1"/>
  <c r="BL64" i="6"/>
  <c r="BN64" s="1"/>
  <c r="BO64" s="1"/>
  <c r="BA68"/>
  <c r="BB68" s="1"/>
  <c r="BL54"/>
  <c r="BN54" s="1"/>
  <c r="BO54" s="1"/>
  <c r="BL14"/>
  <c r="BL42"/>
  <c r="BN42" s="1"/>
  <c r="BO42" s="1"/>
  <c r="BA46"/>
  <c r="BB46" s="1"/>
  <c r="BA16"/>
  <c r="BB16" s="1"/>
  <c r="BA65"/>
  <c r="BB65" s="1"/>
  <c r="BA29"/>
  <c r="BB29" s="1"/>
  <c r="BA23"/>
  <c r="BB23" s="1"/>
  <c r="BL38"/>
  <c r="BN38" s="1"/>
  <c r="BO38" s="1"/>
  <c r="BB49"/>
  <c r="BA49"/>
  <c r="BB41"/>
  <c r="BA41"/>
  <c r="BA12"/>
  <c r="BB12" s="1"/>
  <c r="BL24"/>
  <c r="BN24" s="1"/>
  <c r="BO24" s="1"/>
  <c r="BA67"/>
  <c r="BB67" s="1"/>
  <c r="BB28"/>
  <c r="BA28"/>
  <c r="BA48"/>
  <c r="BB48" s="1"/>
  <c r="BL69"/>
  <c r="BN69" s="1"/>
  <c r="BO69" s="1"/>
  <c r="BL20"/>
  <c r="BN20" s="1"/>
  <c r="BO20" s="1"/>
  <c r="BL34"/>
  <c r="BN34" s="1"/>
  <c r="BO34" s="1"/>
  <c r="BA70"/>
  <c r="BB70" s="1"/>
  <c r="BA32"/>
  <c r="BB32" s="1"/>
  <c r="BB43"/>
  <c r="BA43"/>
  <c r="BA15"/>
  <c r="BB15" s="1"/>
  <c r="BA21"/>
  <c r="BB21" s="1"/>
  <c r="BB47"/>
  <c r="BA47"/>
  <c r="BA63"/>
  <c r="BB63" s="1"/>
  <c r="BA11"/>
  <c r="BB11" s="1"/>
  <c r="BL22"/>
  <c r="BN22" s="1"/>
  <c r="BO22" s="1"/>
  <c r="BL30"/>
  <c r="BN30" s="1"/>
  <c r="BO30" s="1"/>
  <c r="BB51"/>
  <c r="BA51"/>
  <c r="BA45"/>
  <c r="BB45" s="1"/>
  <c r="BL18"/>
  <c r="BN18" s="1"/>
  <c r="BO18" s="1"/>
  <c r="BM62" i="8"/>
  <c r="BM66"/>
  <c r="BM65"/>
  <c r="BM69"/>
  <c r="AP67"/>
  <c r="AQ67" s="1"/>
  <c r="BI39"/>
  <c r="BJ39" s="1"/>
  <c r="BH39"/>
  <c r="BI26"/>
  <c r="BJ26" s="1"/>
  <c r="BH26"/>
  <c r="BI56"/>
  <c r="BJ56" s="1"/>
  <c r="BH56"/>
  <c r="BI53"/>
  <c r="BJ53" s="1"/>
  <c r="BH53"/>
  <c r="BI50"/>
  <c r="BJ50" s="1"/>
  <c r="BH50"/>
  <c r="BI68"/>
  <c r="BJ68" s="1"/>
  <c r="BH68"/>
  <c r="BH44"/>
  <c r="BI44"/>
  <c r="BJ44" s="1"/>
  <c r="BH27"/>
  <c r="BI27"/>
  <c r="BJ27" s="1"/>
  <c r="BI55"/>
  <c r="BJ55" s="1"/>
  <c r="BH55"/>
  <c r="BI40"/>
  <c r="BJ40" s="1"/>
  <c r="BH40"/>
  <c r="BI41"/>
  <c r="BJ41" s="1"/>
  <c r="BH41"/>
  <c r="BI29"/>
  <c r="BJ29" s="1"/>
  <c r="BH29"/>
  <c r="BI70"/>
  <c r="BJ70" s="1"/>
  <c r="BH70"/>
  <c r="BM64"/>
  <c r="BI17"/>
  <c r="BJ17" s="1"/>
  <c r="BH17"/>
  <c r="BI23"/>
  <c r="BJ23" s="1"/>
  <c r="BH23"/>
  <c r="BI33"/>
  <c r="BJ33" s="1"/>
  <c r="BH33"/>
  <c r="BH15"/>
  <c r="BI15"/>
  <c r="BJ15" s="1"/>
  <c r="AY63"/>
  <c r="AZ63" s="1"/>
  <c r="BA63" s="1"/>
  <c r="BB63" s="1"/>
  <c r="BF63" s="1"/>
  <c r="BG63" s="1"/>
  <c r="BH37"/>
  <c r="BI37"/>
  <c r="BJ37" s="1"/>
  <c r="BI10"/>
  <c r="BJ10" s="1"/>
  <c r="BH10"/>
  <c r="BI36"/>
  <c r="BJ36" s="1"/>
  <c r="BH36"/>
  <c r="BI12"/>
  <c r="BJ12" s="1"/>
  <c r="BH12"/>
  <c r="AP62" i="9"/>
  <c r="AQ62" s="1"/>
  <c r="BI27" i="6"/>
  <c r="BJ27" s="1"/>
  <c r="BK27" s="1"/>
  <c r="BL27" s="1"/>
  <c r="BN27" s="1"/>
  <c r="BO27" s="1"/>
  <c r="BI40"/>
  <c r="BJ40" s="1"/>
  <c r="BK40" s="1"/>
  <c r="BL40" s="1"/>
  <c r="BN40" s="1"/>
  <c r="BO40" s="1"/>
  <c r="BH33"/>
  <c r="BI33" s="1"/>
  <c r="BJ33" s="1"/>
  <c r="BK33" s="1"/>
  <c r="BL33" s="1"/>
  <c r="BN33" s="1"/>
  <c r="BO33" s="1"/>
  <c r="BI50"/>
  <c r="BJ50" s="1"/>
  <c r="BK50" s="1"/>
  <c r="BL50" s="1"/>
  <c r="BN50" s="1"/>
  <c r="BO50" s="1"/>
  <c r="BI41" i="9"/>
  <c r="BI55" i="6"/>
  <c r="BJ55" s="1"/>
  <c r="BK55" s="1"/>
  <c r="BL55" s="1"/>
  <c r="BN55" s="1"/>
  <c r="BO55" s="1"/>
  <c r="BI56"/>
  <c r="BJ56" s="1"/>
  <c r="BK56" s="1"/>
  <c r="BL56" s="1"/>
  <c r="BN56" s="1"/>
  <c r="BO56" s="1"/>
  <c r="BI37"/>
  <c r="BJ37" s="1"/>
  <c r="BK37" s="1"/>
  <c r="BL37" s="1"/>
  <c r="BN37" s="1"/>
  <c r="BO37" s="1"/>
  <c r="BH12"/>
  <c r="BI12" s="1"/>
  <c r="BJ12" s="1"/>
  <c r="BK12" s="1"/>
  <c r="BH26"/>
  <c r="BI26" s="1"/>
  <c r="BJ26" s="1"/>
  <c r="BK26" s="1"/>
  <c r="BL26" s="1"/>
  <c r="BN26" s="1"/>
  <c r="BO26" s="1"/>
  <c r="BH10"/>
  <c r="BI10" s="1"/>
  <c r="BJ10" s="1"/>
  <c r="BK10" s="1"/>
  <c r="BL10" s="1"/>
  <c r="BN10" s="1"/>
  <c r="BO10" s="1"/>
  <c r="BH15"/>
  <c r="BI15" s="1"/>
  <c r="BJ15" s="1"/>
  <c r="BK15" s="1"/>
  <c r="BI23" i="9"/>
  <c r="BI36" i="6"/>
  <c r="BJ36" s="1"/>
  <c r="BK36" s="1"/>
  <c r="BL36" s="1"/>
  <c r="BN36" s="1"/>
  <c r="BO36" s="1"/>
  <c r="BI44"/>
  <c r="BJ44" s="1"/>
  <c r="BK44" s="1"/>
  <c r="BL44" s="1"/>
  <c r="BN44" s="1"/>
  <c r="BO44" s="1"/>
  <c r="BI17"/>
  <c r="BJ17" s="1"/>
  <c r="BK17" s="1"/>
  <c r="BL17" s="1"/>
  <c r="BN17" s="1"/>
  <c r="BO17" s="1"/>
  <c r="BI53"/>
  <c r="BJ53" s="1"/>
  <c r="BK53" s="1"/>
  <c r="BL53" s="1"/>
  <c r="BN53" s="1"/>
  <c r="BO53" s="1"/>
  <c r="BH39"/>
  <c r="BI39" s="1"/>
  <c r="BJ39" s="1"/>
  <c r="BK39" s="1"/>
  <c r="BL39" s="1"/>
  <c r="BN39" s="1"/>
  <c r="BO39" s="1"/>
  <c r="BP39" s="1"/>
  <c r="BQ39" s="1"/>
  <c r="BR39" s="1"/>
  <c r="BD39" i="9" s="1"/>
  <c r="BE39" s="1"/>
  <c r="AX19"/>
  <c r="AY19" s="1"/>
  <c r="AZ19" s="1"/>
  <c r="BA19" s="1"/>
  <c r="BB19" s="1"/>
  <c r="BJ70" i="6"/>
  <c r="BK70" s="1"/>
  <c r="BJ65"/>
  <c r="BK65" s="1"/>
  <c r="BJ68"/>
  <c r="BK68" s="1"/>
  <c r="BJ11"/>
  <c r="BK11" s="1"/>
  <c r="BJ43"/>
  <c r="BK43" s="1"/>
  <c r="BJ45"/>
  <c r="BK45" s="1"/>
  <c r="BJ41"/>
  <c r="BK41" s="1"/>
  <c r="BJ48"/>
  <c r="BK48" s="1"/>
  <c r="BJ46"/>
  <c r="BK46" s="1"/>
  <c r="BJ32"/>
  <c r="BK32" s="1"/>
  <c r="BJ29"/>
  <c r="BK29" s="1"/>
  <c r="BJ16"/>
  <c r="BK16" s="1"/>
  <c r="BJ23"/>
  <c r="BK23" s="1"/>
  <c r="BJ49"/>
  <c r="BK49" s="1"/>
  <c r="BJ51"/>
  <c r="BK51" s="1"/>
  <c r="BJ28"/>
  <c r="BK28" s="1"/>
  <c r="BJ47"/>
  <c r="BK47" s="1"/>
  <c r="BJ21"/>
  <c r="BK21" s="1"/>
  <c r="BP52"/>
  <c r="BQ52" s="1"/>
  <c r="BR52" s="1"/>
  <c r="BD52" i="9" s="1"/>
  <c r="BE52" s="1"/>
  <c r="AR60" i="8"/>
  <c r="AU9"/>
  <c r="BD9" i="6"/>
  <c r="AN74" i="9"/>
  <c r="AO74" s="1"/>
  <c r="AP74" s="1"/>
  <c r="AO60"/>
  <c r="AP60" s="1"/>
  <c r="AQ60" i="6"/>
  <c r="AQ74" s="1"/>
  <c r="AR9"/>
  <c r="AU9" i="9"/>
  <c r="AR60"/>
  <c r="AO60" i="6"/>
  <c r="AP60" s="1"/>
  <c r="AN74"/>
  <c r="AO74" s="1"/>
  <c r="AP74" s="1"/>
  <c r="BG63"/>
  <c r="AU62"/>
  <c r="AR72"/>
  <c r="BN14"/>
  <c r="BO14" s="1"/>
  <c r="BL21" l="1"/>
  <c r="BN21" s="1"/>
  <c r="BO21" s="1"/>
  <c r="BP21" s="1"/>
  <c r="BQ21" s="1"/>
  <c r="BR21" s="1"/>
  <c r="BD21" i="9" s="1"/>
  <c r="BE21" s="1"/>
  <c r="BL45" i="6"/>
  <c r="BN45" s="1"/>
  <c r="BO45" s="1"/>
  <c r="BL12"/>
  <c r="BN12" s="1"/>
  <c r="BO12" s="1"/>
  <c r="BL41"/>
  <c r="BN41" s="1"/>
  <c r="BO41" s="1"/>
  <c r="BL68"/>
  <c r="BN68" s="1"/>
  <c r="BO68" s="1"/>
  <c r="BP68" s="1"/>
  <c r="BQ68" s="1"/>
  <c r="BR68" s="1"/>
  <c r="BD68" i="9" s="1"/>
  <c r="BE68" s="1"/>
  <c r="BL11" i="6"/>
  <c r="BN11" s="1"/>
  <c r="BO11" s="1"/>
  <c r="BL16"/>
  <c r="BN16" s="1"/>
  <c r="BO16" s="1"/>
  <c r="BP16" s="1"/>
  <c r="BQ16" s="1"/>
  <c r="BR16" s="1"/>
  <c r="BD16" i="9" s="1"/>
  <c r="BE16" s="1"/>
  <c r="BL15" i="6"/>
  <c r="BN15" s="1"/>
  <c r="BO15" s="1"/>
  <c r="BP15" s="1"/>
  <c r="BQ15" s="1"/>
  <c r="BR15" s="1"/>
  <c r="BD15" i="9" s="1"/>
  <c r="BE15" s="1"/>
  <c r="BL65" i="6"/>
  <c r="BN65" s="1"/>
  <c r="BO65" s="1"/>
  <c r="BP65" s="1"/>
  <c r="BQ65" s="1"/>
  <c r="BR65" s="1"/>
  <c r="BD65" i="9" s="1"/>
  <c r="BE65" s="1"/>
  <c r="BL48" i="6"/>
  <c r="BN48" s="1"/>
  <c r="BO48" s="1"/>
  <c r="BL23"/>
  <c r="BN23" s="1"/>
  <c r="BO23" s="1"/>
  <c r="BL49"/>
  <c r="BN49" s="1"/>
  <c r="BO49" s="1"/>
  <c r="BP49" s="1"/>
  <c r="BQ49" s="1"/>
  <c r="BR49" s="1"/>
  <c r="BD49" i="9" s="1"/>
  <c r="BE49" s="1"/>
  <c r="BL51" i="6"/>
  <c r="BN51" s="1"/>
  <c r="BO51" s="1"/>
  <c r="BP51" s="1"/>
  <c r="BQ51" s="1"/>
  <c r="BR51" s="1"/>
  <c r="BD51" i="9" s="1"/>
  <c r="BE51" s="1"/>
  <c r="BL43" i="6"/>
  <c r="BN43" s="1"/>
  <c r="BO43" s="1"/>
  <c r="BL46"/>
  <c r="BL32"/>
  <c r="BN32" s="1"/>
  <c r="BO32" s="1"/>
  <c r="BL29"/>
  <c r="BN29" s="1"/>
  <c r="BO29" s="1"/>
  <c r="BL28"/>
  <c r="BN28" s="1"/>
  <c r="BO28" s="1"/>
  <c r="BL47"/>
  <c r="BN47" s="1"/>
  <c r="BO47" s="1"/>
  <c r="BL70"/>
  <c r="BN70" s="1"/>
  <c r="BO70" s="1"/>
  <c r="AQ72" i="8"/>
  <c r="AQ74" s="1"/>
  <c r="AR67"/>
  <c r="BD67" i="6" s="1"/>
  <c r="BE67" s="1"/>
  <c r="BF67" s="1"/>
  <c r="BH67" i="9" s="1"/>
  <c r="BH62" i="8"/>
  <c r="BI62"/>
  <c r="BJ62" s="1"/>
  <c r="BH66"/>
  <c r="BI66"/>
  <c r="BJ66" s="1"/>
  <c r="BI64"/>
  <c r="BJ64" s="1"/>
  <c r="BH64"/>
  <c r="BH65"/>
  <c r="BI65"/>
  <c r="BJ65" s="1"/>
  <c r="BI69"/>
  <c r="BJ69" s="1"/>
  <c r="BH69"/>
  <c r="BI63"/>
  <c r="BJ63" s="1"/>
  <c r="BH63"/>
  <c r="AR62" i="9"/>
  <c r="AR72" s="1"/>
  <c r="AQ72"/>
  <c r="AQ74" s="1"/>
  <c r="BF39"/>
  <c r="BG39"/>
  <c r="BI39" s="1"/>
  <c r="BF57"/>
  <c r="BG57"/>
  <c r="BI57" s="1"/>
  <c r="BF52"/>
  <c r="BG52"/>
  <c r="BF13"/>
  <c r="BG13"/>
  <c r="BH63" i="6"/>
  <c r="BI63" s="1"/>
  <c r="BJ63" s="1"/>
  <c r="BK63" s="1"/>
  <c r="BL63" s="1"/>
  <c r="BN63" s="1"/>
  <c r="BO63" s="1"/>
  <c r="BG19" i="9"/>
  <c r="BI19" s="1"/>
  <c r="CC19" i="6"/>
  <c r="BV19"/>
  <c r="CC13"/>
  <c r="BV13"/>
  <c r="CC57"/>
  <c r="BV57"/>
  <c r="CC52"/>
  <c r="BV52"/>
  <c r="CC39"/>
  <c r="BV39"/>
  <c r="BP26"/>
  <c r="BQ26" s="1"/>
  <c r="BR26" s="1"/>
  <c r="BD26" i="9" s="1"/>
  <c r="BE26" s="1"/>
  <c r="BP40" i="6"/>
  <c r="BQ40" s="1"/>
  <c r="BR40" s="1"/>
  <c r="BD40" i="9" s="1"/>
  <c r="BE40" s="1"/>
  <c r="BP30" i="6"/>
  <c r="BQ30" s="1"/>
  <c r="BR30" s="1"/>
  <c r="BD30" i="9" s="1"/>
  <c r="BE30" s="1"/>
  <c r="BP42" i="6"/>
  <c r="BQ42" s="1"/>
  <c r="BR42" s="1"/>
  <c r="BD42" i="9" s="1"/>
  <c r="BE42" s="1"/>
  <c r="BP36" i="6"/>
  <c r="BQ36" s="1"/>
  <c r="BR36" s="1"/>
  <c r="BD36" i="9" s="1"/>
  <c r="BE36" s="1"/>
  <c r="BP24" i="6"/>
  <c r="BQ24" s="1"/>
  <c r="BR24" s="1"/>
  <c r="BD24" i="9" s="1"/>
  <c r="BE24" s="1"/>
  <c r="BP44" i="6"/>
  <c r="BQ44" s="1"/>
  <c r="BR44" s="1"/>
  <c r="BD44" i="9" s="1"/>
  <c r="BE44" s="1"/>
  <c r="BP35" i="6"/>
  <c r="BQ35" s="1"/>
  <c r="BR35" s="1"/>
  <c r="BD35" i="9" s="1"/>
  <c r="BE35" s="1"/>
  <c r="BP31" i="6"/>
  <c r="BQ31" s="1"/>
  <c r="BR31" s="1"/>
  <c r="BD31" i="9" s="1"/>
  <c r="BE31" s="1"/>
  <c r="BP56" i="6"/>
  <c r="BQ56" s="1"/>
  <c r="BR56" s="1"/>
  <c r="BD56" i="9" s="1"/>
  <c r="BE56" s="1"/>
  <c r="BP27" i="6"/>
  <c r="BQ27" s="1"/>
  <c r="BR27" s="1"/>
  <c r="BD27" i="9" s="1"/>
  <c r="BE27" s="1"/>
  <c r="BP25" i="6"/>
  <c r="BQ25" s="1"/>
  <c r="BR25" s="1"/>
  <c r="BD25" i="9" s="1"/>
  <c r="BE25" s="1"/>
  <c r="BP32" i="6"/>
  <c r="BQ32" s="1"/>
  <c r="BR32" s="1"/>
  <c r="BD32" i="9" s="1"/>
  <c r="BE32" s="1"/>
  <c r="BP54" i="6"/>
  <c r="BQ54" s="1"/>
  <c r="BR54" s="1"/>
  <c r="BD54" i="9" s="1"/>
  <c r="BE54" s="1"/>
  <c r="BP10" i="6"/>
  <c r="BQ10" s="1"/>
  <c r="BR10" s="1"/>
  <c r="BD10" i="9" s="1"/>
  <c r="BE10" s="1"/>
  <c r="BP55" i="6"/>
  <c r="BQ55" s="1"/>
  <c r="BR55" s="1"/>
  <c r="BD55" i="9" s="1"/>
  <c r="BE55" s="1"/>
  <c r="BP53" i="6"/>
  <c r="BQ53" s="1"/>
  <c r="BR53" s="1"/>
  <c r="BD53" i="9" s="1"/>
  <c r="BE53" s="1"/>
  <c r="BP20" i="6"/>
  <c r="BQ20" s="1"/>
  <c r="BR20" s="1"/>
  <c r="BD20" i="9" s="1"/>
  <c r="BE20" s="1"/>
  <c r="BP22" i="6"/>
  <c r="BQ22" s="1"/>
  <c r="BR22" s="1"/>
  <c r="BD22" i="9" s="1"/>
  <c r="BE22" s="1"/>
  <c r="BP38" i="6"/>
  <c r="BQ38" s="1"/>
  <c r="BR38" s="1"/>
  <c r="BD38" i="9" s="1"/>
  <c r="BE38" s="1"/>
  <c r="BP37" i="6"/>
  <c r="BQ37" s="1"/>
  <c r="BR37" s="1"/>
  <c r="BD37" i="9" s="1"/>
  <c r="BE37" s="1"/>
  <c r="BP33" i="6"/>
  <c r="BQ33" s="1"/>
  <c r="BR33" s="1"/>
  <c r="BD33" i="9" s="1"/>
  <c r="BE33" s="1"/>
  <c r="BP58" i="6"/>
  <c r="BQ58" s="1"/>
  <c r="BR58" s="1"/>
  <c r="BD58" i="9" s="1"/>
  <c r="BE58" s="1"/>
  <c r="BP34" i="6"/>
  <c r="BQ34" s="1"/>
  <c r="BR34" s="1"/>
  <c r="BD34" i="9" s="1"/>
  <c r="BE34" s="1"/>
  <c r="BP17" i="6"/>
  <c r="BQ17" s="1"/>
  <c r="BR17" s="1"/>
  <c r="BD17" i="9" s="1"/>
  <c r="BE17" s="1"/>
  <c r="BP64" i="6"/>
  <c r="BQ64" s="1"/>
  <c r="BR64" s="1"/>
  <c r="BD64" i="9" s="1"/>
  <c r="BE64" s="1"/>
  <c r="BP43" i="6"/>
  <c r="BQ43" s="1"/>
  <c r="BR43" s="1"/>
  <c r="BD43" i="9" s="1"/>
  <c r="BE43" s="1"/>
  <c r="BP18" i="6"/>
  <c r="BQ18" s="1"/>
  <c r="BR18" s="1"/>
  <c r="BD18" i="9" s="1"/>
  <c r="BE18" s="1"/>
  <c r="BP50" i="6"/>
  <c r="BQ50" s="1"/>
  <c r="BR50" s="1"/>
  <c r="BD50" i="9" s="1"/>
  <c r="BE50" s="1"/>
  <c r="BP14" i="6"/>
  <c r="BQ14" s="1"/>
  <c r="BR14" s="1"/>
  <c r="BD14" i="9" s="1"/>
  <c r="BE14" s="1"/>
  <c r="BP66" i="6"/>
  <c r="BQ66" s="1"/>
  <c r="BR66" s="1"/>
  <c r="BD66" i="9" s="1"/>
  <c r="BE66" s="1"/>
  <c r="BP69" i="6"/>
  <c r="BQ69" s="1"/>
  <c r="BR69" s="1"/>
  <c r="BD69" i="9" s="1"/>
  <c r="BE69" s="1"/>
  <c r="AR60" i="6"/>
  <c r="AR74" s="1"/>
  <c r="AU9"/>
  <c r="BE9"/>
  <c r="BF9" s="1"/>
  <c r="BD60"/>
  <c r="AU60" i="8"/>
  <c r="AW9"/>
  <c r="AX9" s="1"/>
  <c r="AY9" s="1"/>
  <c r="AZ9" s="1"/>
  <c r="BA9" s="1"/>
  <c r="BN46" i="6"/>
  <c r="BO46" s="1"/>
  <c r="BM63" i="8"/>
  <c r="AW62" i="6"/>
  <c r="AX62" s="1"/>
  <c r="BH62" s="1"/>
  <c r="AU72"/>
  <c r="AW72" s="1"/>
  <c r="AX72" s="1"/>
  <c r="AW9" i="9"/>
  <c r="AU60"/>
  <c r="BK57" l="1"/>
  <c r="BL57" s="1"/>
  <c r="BM57" s="1"/>
  <c r="BN57" s="1"/>
  <c r="BP57" s="1"/>
  <c r="BQ57" s="1"/>
  <c r="BR57" s="1"/>
  <c r="BS57" s="1"/>
  <c r="BT57" s="1"/>
  <c r="BX57" s="1"/>
  <c r="BY57" s="1"/>
  <c r="CA57" s="1"/>
  <c r="CB57" s="1"/>
  <c r="BJ57"/>
  <c r="BK19"/>
  <c r="BL19" s="1"/>
  <c r="BM19" s="1"/>
  <c r="BN19" s="1"/>
  <c r="BP19" s="1"/>
  <c r="BQ19" s="1"/>
  <c r="BR19" s="1"/>
  <c r="BS19" s="1"/>
  <c r="BT19" s="1"/>
  <c r="BX19" s="1"/>
  <c r="BJ19"/>
  <c r="BJ39"/>
  <c r="BK39" s="1"/>
  <c r="BL39" s="1"/>
  <c r="BM39" s="1"/>
  <c r="BN39" s="1"/>
  <c r="BP39" s="1"/>
  <c r="BQ39" s="1"/>
  <c r="BR39" s="1"/>
  <c r="BS39" s="1"/>
  <c r="BT39" s="1"/>
  <c r="BX39" s="1"/>
  <c r="BY39" s="1"/>
  <c r="CA39" s="1"/>
  <c r="CB39" s="1"/>
  <c r="AR72" i="8"/>
  <c r="AR74" s="1"/>
  <c r="AU67"/>
  <c r="AU72" s="1"/>
  <c r="AW72" s="1"/>
  <c r="AX72" s="1"/>
  <c r="AY72" s="1"/>
  <c r="BD72" i="6"/>
  <c r="BE72" s="1"/>
  <c r="BF72" s="1"/>
  <c r="BH72" i="9" s="1"/>
  <c r="BF69"/>
  <c r="BG69"/>
  <c r="BF65"/>
  <c r="BG65"/>
  <c r="BF64"/>
  <c r="BG64"/>
  <c r="BF68"/>
  <c r="BG68"/>
  <c r="BF66"/>
  <c r="BG66"/>
  <c r="BI66" s="1"/>
  <c r="AU62"/>
  <c r="AW62" s="1"/>
  <c r="BI52"/>
  <c r="BK52" s="1"/>
  <c r="BL52" s="1"/>
  <c r="BM52" s="1"/>
  <c r="BN52" s="1"/>
  <c r="BP52" s="1"/>
  <c r="BQ52" s="1"/>
  <c r="BR52" s="1"/>
  <c r="BS52" s="1"/>
  <c r="BT52" s="1"/>
  <c r="BX52" s="1"/>
  <c r="BF22"/>
  <c r="BG22"/>
  <c r="BF51"/>
  <c r="BG51"/>
  <c r="BI51" s="1"/>
  <c r="BF42"/>
  <c r="BG42"/>
  <c r="BF33"/>
  <c r="BG33"/>
  <c r="BF35"/>
  <c r="BG35"/>
  <c r="BF24"/>
  <c r="BG24"/>
  <c r="BI24" s="1"/>
  <c r="BF58"/>
  <c r="BG58"/>
  <c r="BF21"/>
  <c r="BG21"/>
  <c r="BH9"/>
  <c r="BF16"/>
  <c r="BG16"/>
  <c r="BF31"/>
  <c r="BG31"/>
  <c r="BI13"/>
  <c r="BF49"/>
  <c r="BG49"/>
  <c r="BF34"/>
  <c r="BG34"/>
  <c r="BI34" s="1"/>
  <c r="BF56"/>
  <c r="BG56"/>
  <c r="BI56" s="1"/>
  <c r="BF37"/>
  <c r="BG37"/>
  <c r="BI37" s="1"/>
  <c r="BF17"/>
  <c r="BG17"/>
  <c r="BF27"/>
  <c r="BG27"/>
  <c r="BI27" s="1"/>
  <c r="BF20"/>
  <c r="BG20"/>
  <c r="BF25"/>
  <c r="BG25"/>
  <c r="BF15"/>
  <c r="BG15"/>
  <c r="BI15" s="1"/>
  <c r="BF53"/>
  <c r="BG53"/>
  <c r="BF43"/>
  <c r="BG43"/>
  <c r="BK43" s="1"/>
  <c r="BL43" s="1"/>
  <c r="BM43" s="1"/>
  <c r="BN43" s="1"/>
  <c r="BP43" s="1"/>
  <c r="BQ43" s="1"/>
  <c r="BR43" s="1"/>
  <c r="BS43" s="1"/>
  <c r="BT43" s="1"/>
  <c r="BX43" s="1"/>
  <c r="BF32"/>
  <c r="BG32"/>
  <c r="BK32" s="1"/>
  <c r="BL32" s="1"/>
  <c r="BM32" s="1"/>
  <c r="BN32" s="1"/>
  <c r="BP32" s="1"/>
  <c r="BQ32" s="1"/>
  <c r="BR32" s="1"/>
  <c r="BS32" s="1"/>
  <c r="BT32" s="1"/>
  <c r="BX32" s="1"/>
  <c r="BF18"/>
  <c r="BG18"/>
  <c r="BF54"/>
  <c r="BG54"/>
  <c r="BF26"/>
  <c r="BG26"/>
  <c r="BF36"/>
  <c r="BG36"/>
  <c r="BI36" s="1"/>
  <c r="BF38"/>
  <c r="BG38"/>
  <c r="BF50"/>
  <c r="BG50"/>
  <c r="BI50" s="1"/>
  <c r="BF10"/>
  <c r="BG10"/>
  <c r="BI10" s="1"/>
  <c r="BF40"/>
  <c r="BG40"/>
  <c r="BF44"/>
  <c r="BG44"/>
  <c r="BI44" s="1"/>
  <c r="BF14"/>
  <c r="BG14"/>
  <c r="BF55"/>
  <c r="BG55"/>
  <c r="BF30"/>
  <c r="BG30"/>
  <c r="BI30" s="1"/>
  <c r="AX9"/>
  <c r="AY9" s="1"/>
  <c r="AZ9" s="1"/>
  <c r="BA9" s="1"/>
  <c r="AR74"/>
  <c r="BW13" i="6"/>
  <c r="BY13" s="1"/>
  <c r="BZ13" s="1"/>
  <c r="BX13"/>
  <c r="CC51"/>
  <c r="BV51"/>
  <c r="CC31"/>
  <c r="BV31"/>
  <c r="BX52"/>
  <c r="BW52"/>
  <c r="BY52" s="1"/>
  <c r="BZ52" s="1"/>
  <c r="CC49"/>
  <c r="BV49"/>
  <c r="CC56"/>
  <c r="BV56"/>
  <c r="CC65"/>
  <c r="BV65"/>
  <c r="CC21"/>
  <c r="BV21"/>
  <c r="CC17"/>
  <c r="BV17"/>
  <c r="CC27"/>
  <c r="BV27"/>
  <c r="BW39"/>
  <c r="BY39" s="1"/>
  <c r="BZ39" s="1"/>
  <c r="BX39"/>
  <c r="CC35"/>
  <c r="BV35"/>
  <c r="CC64"/>
  <c r="BV64"/>
  <c r="CC25"/>
  <c r="BV25"/>
  <c r="CC15"/>
  <c r="BV15"/>
  <c r="CC22"/>
  <c r="BV22"/>
  <c r="CC37"/>
  <c r="BV37"/>
  <c r="CC58"/>
  <c r="BV58"/>
  <c r="CC32"/>
  <c r="BV32"/>
  <c r="CC68"/>
  <c r="BV68"/>
  <c r="CC20"/>
  <c r="BV20"/>
  <c r="CC44"/>
  <c r="BV44"/>
  <c r="CC33"/>
  <c r="BV33"/>
  <c r="CC26"/>
  <c r="BV26"/>
  <c r="CC36"/>
  <c r="BV36"/>
  <c r="CC38"/>
  <c r="BV38"/>
  <c r="BW57"/>
  <c r="BY57" s="1"/>
  <c r="BZ57" s="1"/>
  <c r="BX57"/>
  <c r="CC16"/>
  <c r="BV16"/>
  <c r="CC43"/>
  <c r="BV43"/>
  <c r="CC50"/>
  <c r="BV50"/>
  <c r="CC10"/>
  <c r="BV10"/>
  <c r="CC40"/>
  <c r="BV40"/>
  <c r="CC69"/>
  <c r="BV69"/>
  <c r="BX19"/>
  <c r="BW19"/>
  <c r="BY19" s="1"/>
  <c r="BZ19" s="1"/>
  <c r="CC54"/>
  <c r="BV54"/>
  <c r="CC14"/>
  <c r="BV14"/>
  <c r="CC55"/>
  <c r="BV55"/>
  <c r="CC30"/>
  <c r="BV30"/>
  <c r="CC24"/>
  <c r="BV24"/>
  <c r="CC34"/>
  <c r="BV34"/>
  <c r="CC18"/>
  <c r="BV18"/>
  <c r="CC66"/>
  <c r="BV66"/>
  <c r="CC53"/>
  <c r="BV53"/>
  <c r="CC42"/>
  <c r="BV42"/>
  <c r="BP11"/>
  <c r="BQ11" s="1"/>
  <c r="BR11" s="1"/>
  <c r="BD11" i="9" s="1"/>
  <c r="BE11" s="1"/>
  <c r="BP63" i="6"/>
  <c r="BQ63" s="1"/>
  <c r="BR63" s="1"/>
  <c r="BD63" i="9" s="1"/>
  <c r="BE63" s="1"/>
  <c r="BP41" i="6"/>
  <c r="BQ41" s="1"/>
  <c r="BR41" s="1"/>
  <c r="BD41" i="9" s="1"/>
  <c r="BE41" s="1"/>
  <c r="BP45" i="6"/>
  <c r="BQ45" s="1"/>
  <c r="BR45" s="1"/>
  <c r="BD45" i="9" s="1"/>
  <c r="BE45" s="1"/>
  <c r="BP12" i="6"/>
  <c r="BQ12" s="1"/>
  <c r="BR12" s="1"/>
  <c r="BD12" i="9" s="1"/>
  <c r="BE12" s="1"/>
  <c r="BP23" i="6"/>
  <c r="BQ23" s="1"/>
  <c r="BR23" s="1"/>
  <c r="BD23" i="9" s="1"/>
  <c r="BE23" s="1"/>
  <c r="BP46" i="6"/>
  <c r="BQ46" s="1"/>
  <c r="BR46" s="1"/>
  <c r="BD46" i="9" s="1"/>
  <c r="BE46" s="1"/>
  <c r="BP48" i="6"/>
  <c r="BQ48" s="1"/>
  <c r="BR48" s="1"/>
  <c r="BD48" i="9" s="1"/>
  <c r="BE48" s="1"/>
  <c r="BP29" i="6"/>
  <c r="BQ29" s="1"/>
  <c r="BR29" s="1"/>
  <c r="BD29" i="9" s="1"/>
  <c r="BE29" s="1"/>
  <c r="BP47" i="6"/>
  <c r="BQ47" s="1"/>
  <c r="BR47" s="1"/>
  <c r="BD47" i="9" s="1"/>
  <c r="BE47" s="1"/>
  <c r="BP70" i="6"/>
  <c r="BQ70" s="1"/>
  <c r="BR70" s="1"/>
  <c r="BD70" i="9" s="1"/>
  <c r="BE70" s="1"/>
  <c r="BP28" i="6"/>
  <c r="BQ28" s="1"/>
  <c r="BR28" s="1"/>
  <c r="BD28" i="9" s="1"/>
  <c r="BE28" s="1"/>
  <c r="AU60" i="6"/>
  <c r="AW9"/>
  <c r="AX9" s="1"/>
  <c r="AY62"/>
  <c r="AZ62" s="1"/>
  <c r="BA62" s="1"/>
  <c r="BI62"/>
  <c r="BG9"/>
  <c r="AY72"/>
  <c r="AZ72"/>
  <c r="BE60"/>
  <c r="BF60" s="1"/>
  <c r="BH60" i="9" s="1"/>
  <c r="AW60" i="8"/>
  <c r="AX60" s="1"/>
  <c r="AY60" s="1"/>
  <c r="AZ60" s="1"/>
  <c r="BA60"/>
  <c r="BB9"/>
  <c r="BF9" s="1"/>
  <c r="BG9" s="1"/>
  <c r="BG67" i="6"/>
  <c r="BH67" s="1"/>
  <c r="AW60" i="9"/>
  <c r="BG72" i="6" l="1"/>
  <c r="BH72" s="1"/>
  <c r="BI72" s="1"/>
  <c r="BJ72" s="1"/>
  <c r="AU74" i="8"/>
  <c r="AW74" s="1"/>
  <c r="AX74" s="1"/>
  <c r="AY74" s="1"/>
  <c r="BK30" i="9"/>
  <c r="BL30" s="1"/>
  <c r="BM30" s="1"/>
  <c r="BN30" s="1"/>
  <c r="BP30" s="1"/>
  <c r="BQ30" s="1"/>
  <c r="BR30" s="1"/>
  <c r="BS30" s="1"/>
  <c r="BT30" s="1"/>
  <c r="BX30" s="1"/>
  <c r="BY30" s="1"/>
  <c r="CA30" s="1"/>
  <c r="CB30" s="1"/>
  <c r="BJ30"/>
  <c r="BJ56"/>
  <c r="BK56" s="1"/>
  <c r="BL56" s="1"/>
  <c r="BM56" s="1"/>
  <c r="BN56" s="1"/>
  <c r="BP56" s="1"/>
  <c r="BQ56" s="1"/>
  <c r="BR56" s="1"/>
  <c r="BS56" s="1"/>
  <c r="BT56" s="1"/>
  <c r="BX56" s="1"/>
  <c r="BY56" s="1"/>
  <c r="CA56" s="1"/>
  <c r="CB56" s="1"/>
  <c r="BJ24"/>
  <c r="BK24" s="1"/>
  <c r="BL24" s="1"/>
  <c r="BM24" s="1"/>
  <c r="BN24" s="1"/>
  <c r="BP24" s="1"/>
  <c r="BQ24" s="1"/>
  <c r="BR24" s="1"/>
  <c r="BS24" s="1"/>
  <c r="BT24" s="1"/>
  <c r="BX24" s="1"/>
  <c r="BZ24" s="1"/>
  <c r="BZ57"/>
  <c r="BJ13"/>
  <c r="BK13" s="1"/>
  <c r="BL13" s="1"/>
  <c r="BM13" s="1"/>
  <c r="BN13" s="1"/>
  <c r="BP13" s="1"/>
  <c r="BQ13" s="1"/>
  <c r="BR13" s="1"/>
  <c r="BS13" s="1"/>
  <c r="BT13" s="1"/>
  <c r="BX13" s="1"/>
  <c r="BZ39"/>
  <c r="CE39"/>
  <c r="BJ37"/>
  <c r="BK37" s="1"/>
  <c r="BL37" s="1"/>
  <c r="BM37" s="1"/>
  <c r="BN37" s="1"/>
  <c r="BP37" s="1"/>
  <c r="BQ37" s="1"/>
  <c r="BR37" s="1"/>
  <c r="BS37" s="1"/>
  <c r="BT37" s="1"/>
  <c r="CE57"/>
  <c r="BJ50"/>
  <c r="BK50" s="1"/>
  <c r="BL50" s="1"/>
  <c r="BM50" s="1"/>
  <c r="BN50" s="1"/>
  <c r="BP50" s="1"/>
  <c r="BQ50" s="1"/>
  <c r="BR50" s="1"/>
  <c r="BS50" s="1"/>
  <c r="BT50" s="1"/>
  <c r="BJ10"/>
  <c r="BK10" s="1"/>
  <c r="BL10" s="1"/>
  <c r="BM10" s="1"/>
  <c r="BN10" s="1"/>
  <c r="BP10" s="1"/>
  <c r="BQ10" s="1"/>
  <c r="BR10" s="1"/>
  <c r="BS10" s="1"/>
  <c r="BT10" s="1"/>
  <c r="BX10" s="1"/>
  <c r="BZ10" s="1"/>
  <c r="BK44"/>
  <c r="BL44" s="1"/>
  <c r="BM44" s="1"/>
  <c r="BN44" s="1"/>
  <c r="BP44" s="1"/>
  <c r="BQ44" s="1"/>
  <c r="BR44" s="1"/>
  <c r="BS44" s="1"/>
  <c r="BT44" s="1"/>
  <c r="BX44" s="1"/>
  <c r="BZ44" s="1"/>
  <c r="BJ44"/>
  <c r="BK36"/>
  <c r="BL36" s="1"/>
  <c r="BM36" s="1"/>
  <c r="BN36" s="1"/>
  <c r="BP36" s="1"/>
  <c r="BQ36" s="1"/>
  <c r="BR36" s="1"/>
  <c r="BS36" s="1"/>
  <c r="BT36" s="1"/>
  <c r="BX36" s="1"/>
  <c r="BZ36" s="1"/>
  <c r="BJ36"/>
  <c r="BJ66"/>
  <c r="BK66" s="1"/>
  <c r="BL66" s="1"/>
  <c r="BM66" s="1"/>
  <c r="BN66" s="1"/>
  <c r="BP66" s="1"/>
  <c r="BQ66" s="1"/>
  <c r="BJ27"/>
  <c r="BK27" s="1"/>
  <c r="BL27" s="1"/>
  <c r="BM27" s="1"/>
  <c r="BN27" s="1"/>
  <c r="BP27" s="1"/>
  <c r="BQ27" s="1"/>
  <c r="BR27" s="1"/>
  <c r="BS27" s="1"/>
  <c r="BT27" s="1"/>
  <c r="BJ15"/>
  <c r="BK15" s="1"/>
  <c r="BL15" s="1"/>
  <c r="BM15" s="1"/>
  <c r="BN15" s="1"/>
  <c r="BP15" s="1"/>
  <c r="BQ15" s="1"/>
  <c r="BR15" s="1"/>
  <c r="BS15" s="1"/>
  <c r="BT15" s="1"/>
  <c r="BJ34"/>
  <c r="BK34" s="1"/>
  <c r="BL34" s="1"/>
  <c r="BM34" s="1"/>
  <c r="BN34" s="1"/>
  <c r="BP34" s="1"/>
  <c r="BQ34" s="1"/>
  <c r="BR34" s="1"/>
  <c r="BS34" s="1"/>
  <c r="BT34" s="1"/>
  <c r="BJ51"/>
  <c r="BK51" s="1"/>
  <c r="BL51" s="1"/>
  <c r="BM51" s="1"/>
  <c r="BN51" s="1"/>
  <c r="BP51" s="1"/>
  <c r="BQ51" s="1"/>
  <c r="BR51" s="1"/>
  <c r="BS51" s="1"/>
  <c r="BT51" s="1"/>
  <c r="AU72"/>
  <c r="AW72" s="1"/>
  <c r="AX72" s="1"/>
  <c r="BD74" i="6"/>
  <c r="BE74" s="1"/>
  <c r="BF74" s="1"/>
  <c r="BH74" i="9" s="1"/>
  <c r="BI9" i="8"/>
  <c r="BJ9" s="1"/>
  <c r="BH9"/>
  <c r="BH60" s="1"/>
  <c r="BF60"/>
  <c r="BG60" s="1"/>
  <c r="BI60" s="1"/>
  <c r="BJ60" s="1"/>
  <c r="AW67"/>
  <c r="AX67" s="1"/>
  <c r="AZ72"/>
  <c r="BI65" i="9"/>
  <c r="BI64"/>
  <c r="BI69"/>
  <c r="BI68"/>
  <c r="BF70"/>
  <c r="BG70"/>
  <c r="BF63"/>
  <c r="BG63"/>
  <c r="BY43"/>
  <c r="CA43" s="1"/>
  <c r="CB43" s="1"/>
  <c r="BZ43"/>
  <c r="BZ52"/>
  <c r="BY52"/>
  <c r="CA52" s="1"/>
  <c r="CB52" s="1"/>
  <c r="BY19"/>
  <c r="CA19" s="1"/>
  <c r="CB19" s="1"/>
  <c r="BZ19"/>
  <c r="BY32"/>
  <c r="CA32" s="1"/>
  <c r="CB32" s="1"/>
  <c r="BZ32"/>
  <c r="CE52"/>
  <c r="CE43"/>
  <c r="CE32"/>
  <c r="CE19"/>
  <c r="BH9" i="6"/>
  <c r="BI9" s="1"/>
  <c r="BF41" i="9"/>
  <c r="BG41"/>
  <c r="BK41" s="1"/>
  <c r="BL41" s="1"/>
  <c r="BM41" s="1"/>
  <c r="BN41" s="1"/>
  <c r="BP41" s="1"/>
  <c r="BQ41" s="1"/>
  <c r="BR41" s="1"/>
  <c r="BS41" s="1"/>
  <c r="BT41" s="1"/>
  <c r="BX41" s="1"/>
  <c r="BI55"/>
  <c r="BI26"/>
  <c r="BI25"/>
  <c r="BI21"/>
  <c r="BI22"/>
  <c r="BF45"/>
  <c r="BG45"/>
  <c r="BF46"/>
  <c r="BG46"/>
  <c r="BI46" s="1"/>
  <c r="BI42"/>
  <c r="BF48"/>
  <c r="BG48"/>
  <c r="BI16"/>
  <c r="BF23"/>
  <c r="BG23"/>
  <c r="BK23" s="1"/>
  <c r="BL23" s="1"/>
  <c r="BM23" s="1"/>
  <c r="BN23" s="1"/>
  <c r="BP23" s="1"/>
  <c r="BQ23" s="1"/>
  <c r="BR23" s="1"/>
  <c r="BS23" s="1"/>
  <c r="BT23" s="1"/>
  <c r="BX23" s="1"/>
  <c r="BF47"/>
  <c r="BG47"/>
  <c r="BI47" s="1"/>
  <c r="BI38"/>
  <c r="BI17"/>
  <c r="BI31"/>
  <c r="BI33"/>
  <c r="BF28"/>
  <c r="BG28"/>
  <c r="BI28" s="1"/>
  <c r="BI53"/>
  <c r="BI35"/>
  <c r="BF12"/>
  <c r="BG12"/>
  <c r="BF29"/>
  <c r="BG29"/>
  <c r="BI40"/>
  <c r="BI18"/>
  <c r="BI20"/>
  <c r="BF11"/>
  <c r="BG11"/>
  <c r="BI11" s="1"/>
  <c r="BI14"/>
  <c r="BI54"/>
  <c r="BI49"/>
  <c r="BI58"/>
  <c r="BI67" i="6"/>
  <c r="BJ67" s="1"/>
  <c r="BK67" s="1"/>
  <c r="BL67" s="1"/>
  <c r="BN67" s="1"/>
  <c r="BO67" s="1"/>
  <c r="AX62" i="9"/>
  <c r="AX60"/>
  <c r="AY60" s="1"/>
  <c r="AZ60" s="1"/>
  <c r="AU74"/>
  <c r="AW74" s="1"/>
  <c r="BJ62" i="6"/>
  <c r="BK62" s="1"/>
  <c r="CC70"/>
  <c r="BV70"/>
  <c r="BW27"/>
  <c r="BY27" s="1"/>
  <c r="BZ27" s="1"/>
  <c r="BX27"/>
  <c r="CC29"/>
  <c r="BV29"/>
  <c r="BW18"/>
  <c r="BY18" s="1"/>
  <c r="BZ18" s="1"/>
  <c r="BX18"/>
  <c r="BW66"/>
  <c r="BY66" s="1"/>
  <c r="BZ66" s="1"/>
  <c r="BX66"/>
  <c r="BX36"/>
  <c r="BW36"/>
  <c r="BY36" s="1"/>
  <c r="BZ36" s="1"/>
  <c r="BW51"/>
  <c r="BY51" s="1"/>
  <c r="BZ51" s="1"/>
  <c r="BX51"/>
  <c r="BW69"/>
  <c r="BY69" s="1"/>
  <c r="BZ69" s="1"/>
  <c r="BX69"/>
  <c r="CC28"/>
  <c r="BV28"/>
  <c r="BW54"/>
  <c r="BY54" s="1"/>
  <c r="BZ54" s="1"/>
  <c r="BX54"/>
  <c r="BW31"/>
  <c r="BY31" s="1"/>
  <c r="BZ31" s="1"/>
  <c r="BX31"/>
  <c r="BX42"/>
  <c r="BW42"/>
  <c r="BY42" s="1"/>
  <c r="BZ42" s="1"/>
  <c r="BW35"/>
  <c r="BY35" s="1"/>
  <c r="BZ35" s="1"/>
  <c r="BX35"/>
  <c r="CC63"/>
  <c r="BV63"/>
  <c r="CC41"/>
  <c r="BV41"/>
  <c r="CC45"/>
  <c r="BV45"/>
  <c r="BX44"/>
  <c r="BW44"/>
  <c r="BY44" s="1"/>
  <c r="BZ44" s="1"/>
  <c r="BX24"/>
  <c r="BW24"/>
  <c r="BY24" s="1"/>
  <c r="BZ24" s="1"/>
  <c r="BW33"/>
  <c r="BY33" s="1"/>
  <c r="BZ33" s="1"/>
  <c r="BX33"/>
  <c r="BW15"/>
  <c r="BY15" s="1"/>
  <c r="BZ15" s="1"/>
  <c r="BX15"/>
  <c r="BW65"/>
  <c r="BY65" s="1"/>
  <c r="BZ65" s="1"/>
  <c r="BX65"/>
  <c r="BW17"/>
  <c r="BY17" s="1"/>
  <c r="BZ17" s="1"/>
  <c r="BX17"/>
  <c r="BX58"/>
  <c r="BW58"/>
  <c r="BY58" s="1"/>
  <c r="BZ58" s="1"/>
  <c r="BW53"/>
  <c r="BY53" s="1"/>
  <c r="BZ53" s="1"/>
  <c r="BX53"/>
  <c r="BX32"/>
  <c r="BW32"/>
  <c r="BY32" s="1"/>
  <c r="BZ32" s="1"/>
  <c r="BW14"/>
  <c r="BY14" s="1"/>
  <c r="BZ14" s="1"/>
  <c r="BX14"/>
  <c r="BW68"/>
  <c r="BY68" s="1"/>
  <c r="BZ68" s="1"/>
  <c r="BX68"/>
  <c r="CC11"/>
  <c r="BV11"/>
  <c r="BW43"/>
  <c r="BY43" s="1"/>
  <c r="BZ43" s="1"/>
  <c r="BX43"/>
  <c r="BW64"/>
  <c r="BY64" s="1"/>
  <c r="BZ64" s="1"/>
  <c r="BX64"/>
  <c r="BW50"/>
  <c r="BY50" s="1"/>
  <c r="BZ50" s="1"/>
  <c r="BX50"/>
  <c r="BX56"/>
  <c r="BW56"/>
  <c r="BY56" s="1"/>
  <c r="BZ56" s="1"/>
  <c r="CC46"/>
  <c r="BV46"/>
  <c r="CC47"/>
  <c r="BV47"/>
  <c r="BW37"/>
  <c r="BY37" s="1"/>
  <c r="BZ37" s="1"/>
  <c r="BX37"/>
  <c r="BW38"/>
  <c r="BY38" s="1"/>
  <c r="BZ38" s="1"/>
  <c r="BX38"/>
  <c r="BW16"/>
  <c r="BY16" s="1"/>
  <c r="BZ16" s="1"/>
  <c r="BX16"/>
  <c r="BW55"/>
  <c r="BY55" s="1"/>
  <c r="BZ55" s="1"/>
  <c r="BX55"/>
  <c r="BX20"/>
  <c r="BW20"/>
  <c r="BY20" s="1"/>
  <c r="BZ20" s="1"/>
  <c r="BW49"/>
  <c r="BY49" s="1"/>
  <c r="BZ49" s="1"/>
  <c r="BX49"/>
  <c r="BW30"/>
  <c r="BY30" s="1"/>
  <c r="BZ30" s="1"/>
  <c r="BX30"/>
  <c r="BX25"/>
  <c r="BW25"/>
  <c r="BY25" s="1"/>
  <c r="BZ25" s="1"/>
  <c r="CC12"/>
  <c r="BV12"/>
  <c r="CC23"/>
  <c r="BV23"/>
  <c r="BX10"/>
  <c r="BW10"/>
  <c r="BY10" s="1"/>
  <c r="BZ10" s="1"/>
  <c r="CC48"/>
  <c r="BV48"/>
  <c r="BW34"/>
  <c r="BY34" s="1"/>
  <c r="BZ34" s="1"/>
  <c r="BX34"/>
  <c r="BX40"/>
  <c r="BW40"/>
  <c r="BY40" s="1"/>
  <c r="BZ40" s="1"/>
  <c r="BX26"/>
  <c r="BW26"/>
  <c r="BY26" s="1"/>
  <c r="BZ26" s="1"/>
  <c r="BW22"/>
  <c r="BY22" s="1"/>
  <c r="BZ22" s="1"/>
  <c r="BX22"/>
  <c r="BW21"/>
  <c r="BY21" s="1"/>
  <c r="BZ21" s="1"/>
  <c r="BX21"/>
  <c r="BA72"/>
  <c r="BB62"/>
  <c r="BG60"/>
  <c r="BH60" s="1"/>
  <c r="BA60" i="9"/>
  <c r="BB9"/>
  <c r="AY9" i="6"/>
  <c r="AZ9" s="1"/>
  <c r="BA9" s="1"/>
  <c r="BM9" i="8"/>
  <c r="BM60" s="1"/>
  <c r="BB60"/>
  <c r="AU74" i="6"/>
  <c r="AW74" s="1"/>
  <c r="AX74" s="1"/>
  <c r="AW60"/>
  <c r="AX60" s="1"/>
  <c r="BZ13" i="9" l="1"/>
  <c r="BY13"/>
  <c r="CA13" s="1"/>
  <c r="CB13" s="1"/>
  <c r="AZ74" i="8"/>
  <c r="BX34" i="9"/>
  <c r="CE34"/>
  <c r="BY36"/>
  <c r="CA36" s="1"/>
  <c r="CB36" s="1"/>
  <c r="CE36"/>
  <c r="CE56"/>
  <c r="BX15"/>
  <c r="CE15"/>
  <c r="BX51"/>
  <c r="CE51"/>
  <c r="BX37"/>
  <c r="CE37"/>
  <c r="BX27"/>
  <c r="CE27"/>
  <c r="BX50"/>
  <c r="CE50"/>
  <c r="BJ40"/>
  <c r="BK40" s="1"/>
  <c r="BL40" s="1"/>
  <c r="BM40" s="1"/>
  <c r="BN40" s="1"/>
  <c r="BP40" s="1"/>
  <c r="BQ40" s="1"/>
  <c r="BR40" s="1"/>
  <c r="BS40" s="1"/>
  <c r="BT40" s="1"/>
  <c r="BJ47"/>
  <c r="BK47" s="1"/>
  <c r="BL47" s="1"/>
  <c r="BM47" s="1"/>
  <c r="BN47" s="1"/>
  <c r="BP47" s="1"/>
  <c r="BQ47" s="1"/>
  <c r="BR47" s="1"/>
  <c r="BS47" s="1"/>
  <c r="BT47" s="1"/>
  <c r="BJ38"/>
  <c r="BK38" s="1"/>
  <c r="BL38" s="1"/>
  <c r="BM38" s="1"/>
  <c r="BN38" s="1"/>
  <c r="BP38" s="1"/>
  <c r="BQ38" s="1"/>
  <c r="BR38" s="1"/>
  <c r="BS38" s="1"/>
  <c r="BT38" s="1"/>
  <c r="BJ26"/>
  <c r="BK26" s="1"/>
  <c r="BL26" s="1"/>
  <c r="BM26" s="1"/>
  <c r="BN26" s="1"/>
  <c r="BP26" s="1"/>
  <c r="BQ26" s="1"/>
  <c r="BR26" s="1"/>
  <c r="BS26" s="1"/>
  <c r="BT26" s="1"/>
  <c r="BX26" s="1"/>
  <c r="BY26" s="1"/>
  <c r="CA26" s="1"/>
  <c r="CB26" s="1"/>
  <c r="CE44"/>
  <c r="BY24"/>
  <c r="CA24" s="1"/>
  <c r="CB24" s="1"/>
  <c r="BJ20"/>
  <c r="BK20" s="1"/>
  <c r="BL20" s="1"/>
  <c r="BM20" s="1"/>
  <c r="BN20" s="1"/>
  <c r="BP20" s="1"/>
  <c r="BQ20" s="1"/>
  <c r="BR20" s="1"/>
  <c r="BS20" s="1"/>
  <c r="BT20" s="1"/>
  <c r="BX20" s="1"/>
  <c r="BZ20" s="1"/>
  <c r="BK11"/>
  <c r="BL11" s="1"/>
  <c r="BM11" s="1"/>
  <c r="BN11" s="1"/>
  <c r="BP11" s="1"/>
  <c r="BQ11" s="1"/>
  <c r="BR11" s="1"/>
  <c r="BS11" s="1"/>
  <c r="BT11" s="1"/>
  <c r="BX11" s="1"/>
  <c r="BY11" s="1"/>
  <c r="CA11" s="1"/>
  <c r="CB11" s="1"/>
  <c r="BJ11"/>
  <c r="BJ17"/>
  <c r="BK17" s="1"/>
  <c r="BL17" s="1"/>
  <c r="BM17" s="1"/>
  <c r="BN17" s="1"/>
  <c r="BP17" s="1"/>
  <c r="BQ17" s="1"/>
  <c r="BR17" s="1"/>
  <c r="BS17" s="1"/>
  <c r="BT17" s="1"/>
  <c r="BJ25"/>
  <c r="BK25" s="1"/>
  <c r="BL25" s="1"/>
  <c r="BM25" s="1"/>
  <c r="BN25" s="1"/>
  <c r="BP25" s="1"/>
  <c r="BQ25" s="1"/>
  <c r="BR25" s="1"/>
  <c r="BS25" s="1"/>
  <c r="BT25" s="1"/>
  <c r="BJ65"/>
  <c r="BK65" s="1"/>
  <c r="BL65" s="1"/>
  <c r="BM65" s="1"/>
  <c r="BN65" s="1"/>
  <c r="BP65" s="1"/>
  <c r="BQ65" s="1"/>
  <c r="BR65" s="1"/>
  <c r="BS65" s="1"/>
  <c r="BT65" s="1"/>
  <c r="CE24"/>
  <c r="BY44"/>
  <c r="CA44" s="1"/>
  <c r="CB44" s="1"/>
  <c r="BJ14"/>
  <c r="BK14" s="1"/>
  <c r="BL14" s="1"/>
  <c r="BM14" s="1"/>
  <c r="BN14" s="1"/>
  <c r="BP14" s="1"/>
  <c r="BQ14" s="1"/>
  <c r="BR14" s="1"/>
  <c r="BS14" s="1"/>
  <c r="BT14" s="1"/>
  <c r="BX14" s="1"/>
  <c r="BY14" s="1"/>
  <c r="CA14" s="1"/>
  <c r="CB14" s="1"/>
  <c r="BK31"/>
  <c r="BL31" s="1"/>
  <c r="BM31" s="1"/>
  <c r="BN31" s="1"/>
  <c r="BP31" s="1"/>
  <c r="BQ31" s="1"/>
  <c r="BR31" s="1"/>
  <c r="BS31" s="1"/>
  <c r="BT31" s="1"/>
  <c r="BX31" s="1"/>
  <c r="BZ31" s="1"/>
  <c r="BJ31"/>
  <c r="BK21"/>
  <c r="BL21" s="1"/>
  <c r="BM21" s="1"/>
  <c r="BN21" s="1"/>
  <c r="BP21" s="1"/>
  <c r="BQ21" s="1"/>
  <c r="BR21" s="1"/>
  <c r="BS21" s="1"/>
  <c r="BT21" s="1"/>
  <c r="BX21" s="1"/>
  <c r="BJ21"/>
  <c r="BJ64"/>
  <c r="BK64" s="1"/>
  <c r="BL64" s="1"/>
  <c r="BM64" s="1"/>
  <c r="BN64" s="1"/>
  <c r="BP64" s="1"/>
  <c r="BQ64" s="1"/>
  <c r="BR64" s="1"/>
  <c r="BS64" s="1"/>
  <c r="BT64" s="1"/>
  <c r="BX64" s="1"/>
  <c r="CE10"/>
  <c r="BJ33"/>
  <c r="BK33" s="1"/>
  <c r="BL33" s="1"/>
  <c r="BM33" s="1"/>
  <c r="BN33" s="1"/>
  <c r="BP33" s="1"/>
  <c r="BQ33" s="1"/>
  <c r="BR33" s="1"/>
  <c r="BS33" s="1"/>
  <c r="BT33" s="1"/>
  <c r="BK22"/>
  <c r="BL22" s="1"/>
  <c r="BM22" s="1"/>
  <c r="BN22" s="1"/>
  <c r="BP22" s="1"/>
  <c r="BQ22" s="1"/>
  <c r="BR22" s="1"/>
  <c r="BS22" s="1"/>
  <c r="BT22" s="1"/>
  <c r="BX22" s="1"/>
  <c r="BZ22" s="1"/>
  <c r="BJ22"/>
  <c r="BJ69"/>
  <c r="BK69" s="1"/>
  <c r="BL69" s="1"/>
  <c r="BM69" s="1"/>
  <c r="BN69" s="1"/>
  <c r="BP69" s="1"/>
  <c r="BQ69" s="1"/>
  <c r="BR69" s="1"/>
  <c r="BS69" s="1"/>
  <c r="BT69" s="1"/>
  <c r="BX69" s="1"/>
  <c r="BZ56"/>
  <c r="BJ54"/>
  <c r="BK54" s="1"/>
  <c r="BL54" s="1"/>
  <c r="BM54" s="1"/>
  <c r="BN54" s="1"/>
  <c r="BP54" s="1"/>
  <c r="BQ54" s="1"/>
  <c r="BR54" s="1"/>
  <c r="BS54" s="1"/>
  <c r="BT54" s="1"/>
  <c r="BX54" s="1"/>
  <c r="BZ54" s="1"/>
  <c r="BJ49"/>
  <c r="BK49" s="1"/>
  <c r="BL49" s="1"/>
  <c r="BM49" s="1"/>
  <c r="BN49" s="1"/>
  <c r="BP49" s="1"/>
  <c r="BQ49" s="1"/>
  <c r="BR49" s="1"/>
  <c r="BS49" s="1"/>
  <c r="BT49" s="1"/>
  <c r="BX49" s="1"/>
  <c r="BZ49" s="1"/>
  <c r="BJ68"/>
  <c r="BK68" s="1"/>
  <c r="BL68" s="1"/>
  <c r="BM68" s="1"/>
  <c r="BN68" s="1"/>
  <c r="BP68" s="1"/>
  <c r="BQ68" s="1"/>
  <c r="BR68" s="1"/>
  <c r="BS68" s="1"/>
  <c r="BT68" s="1"/>
  <c r="BX68" s="1"/>
  <c r="BZ68" s="1"/>
  <c r="BZ30"/>
  <c r="BJ58"/>
  <c r="BK58" s="1"/>
  <c r="BL58" s="1"/>
  <c r="BM58" s="1"/>
  <c r="BN58" s="1"/>
  <c r="BP58" s="1"/>
  <c r="BQ58" s="1"/>
  <c r="BR58" s="1"/>
  <c r="BS58" s="1"/>
  <c r="BT58" s="1"/>
  <c r="BX58" s="1"/>
  <c r="BJ28"/>
  <c r="BK28" s="1"/>
  <c r="BL28" s="1"/>
  <c r="BM28" s="1"/>
  <c r="BN28" s="1"/>
  <c r="BP28" s="1"/>
  <c r="BQ28" s="1"/>
  <c r="BR28" s="1"/>
  <c r="BS28" s="1"/>
  <c r="BT28" s="1"/>
  <c r="CE13"/>
  <c r="BY10"/>
  <c r="CA10" s="1"/>
  <c r="CB10" s="1"/>
  <c r="BJ18"/>
  <c r="BK18" s="1"/>
  <c r="BL18" s="1"/>
  <c r="BM18" s="1"/>
  <c r="BN18" s="1"/>
  <c r="BP18" s="1"/>
  <c r="BQ18" s="1"/>
  <c r="BR18" s="1"/>
  <c r="BS18" s="1"/>
  <c r="BT18" s="1"/>
  <c r="BX18" s="1"/>
  <c r="BJ53"/>
  <c r="BK53" s="1"/>
  <c r="BL53" s="1"/>
  <c r="BM53" s="1"/>
  <c r="BN53" s="1"/>
  <c r="BP53" s="1"/>
  <c r="BQ53" s="1"/>
  <c r="BR53" s="1"/>
  <c r="BS53" s="1"/>
  <c r="BT53" s="1"/>
  <c r="BG74" i="6"/>
  <c r="BH74" s="1"/>
  <c r="BI74" s="1"/>
  <c r="BJ74" s="1"/>
  <c r="BJ16" i="9"/>
  <c r="BK16" s="1"/>
  <c r="BL16" s="1"/>
  <c r="BM16" s="1"/>
  <c r="BN16" s="1"/>
  <c r="BP16" s="1"/>
  <c r="BQ16" s="1"/>
  <c r="BR16" s="1"/>
  <c r="BS16" s="1"/>
  <c r="BT16" s="1"/>
  <c r="BX16" s="1"/>
  <c r="BZ16" s="1"/>
  <c r="BJ35"/>
  <c r="BK35" s="1"/>
  <c r="BL35" s="1"/>
  <c r="BM35" s="1"/>
  <c r="BN35" s="1"/>
  <c r="BP35" s="1"/>
  <c r="BQ35" s="1"/>
  <c r="BR35" s="1"/>
  <c r="BS35" s="1"/>
  <c r="BT35" s="1"/>
  <c r="BX35" s="1"/>
  <c r="BY35" s="1"/>
  <c r="CA35" s="1"/>
  <c r="CB35" s="1"/>
  <c r="BJ46"/>
  <c r="BK46" s="1"/>
  <c r="BL46" s="1"/>
  <c r="BM46" s="1"/>
  <c r="BN46" s="1"/>
  <c r="BP46" s="1"/>
  <c r="BQ46" s="1"/>
  <c r="BR46" s="1"/>
  <c r="BS46" s="1"/>
  <c r="BT46" s="1"/>
  <c r="BX46" s="1"/>
  <c r="BZ46" s="1"/>
  <c r="BK55"/>
  <c r="BL55" s="1"/>
  <c r="BM55" s="1"/>
  <c r="BN55" s="1"/>
  <c r="BP55" s="1"/>
  <c r="BQ55" s="1"/>
  <c r="BR55" s="1"/>
  <c r="BS55" s="1"/>
  <c r="BT55" s="1"/>
  <c r="BX55" s="1"/>
  <c r="BZ55" s="1"/>
  <c r="BJ55"/>
  <c r="BK42"/>
  <c r="BL42" s="1"/>
  <c r="BM42" s="1"/>
  <c r="BN42" s="1"/>
  <c r="BP42" s="1"/>
  <c r="BQ42" s="1"/>
  <c r="BR42" s="1"/>
  <c r="BS42" s="1"/>
  <c r="BT42" s="1"/>
  <c r="BX42" s="1"/>
  <c r="BY42" s="1"/>
  <c r="CA42" s="1"/>
  <c r="CB42" s="1"/>
  <c r="BJ42"/>
  <c r="CE30"/>
  <c r="AY72"/>
  <c r="AZ72"/>
  <c r="AY67" i="8"/>
  <c r="AZ67" s="1"/>
  <c r="BA67" s="1"/>
  <c r="BI70" i="9"/>
  <c r="BI63"/>
  <c r="BY23"/>
  <c r="CA23" s="1"/>
  <c r="CB23" s="1"/>
  <c r="BZ23"/>
  <c r="BY41"/>
  <c r="CA41" s="1"/>
  <c r="CB41" s="1"/>
  <c r="BZ41"/>
  <c r="BR66"/>
  <c r="BS66" s="1"/>
  <c r="BT66" s="1"/>
  <c r="BX66" s="1"/>
  <c r="AY62"/>
  <c r="AZ62" s="1"/>
  <c r="BA62" s="1"/>
  <c r="CE23"/>
  <c r="CE41"/>
  <c r="BI12"/>
  <c r="BI45"/>
  <c r="BI48"/>
  <c r="BI29"/>
  <c r="AX74"/>
  <c r="BK72" i="6"/>
  <c r="BJ9"/>
  <c r="BK9" s="1"/>
  <c r="BK60" s="1"/>
  <c r="BW47"/>
  <c r="BY47" s="1"/>
  <c r="BZ47" s="1"/>
  <c r="BX47"/>
  <c r="BW12"/>
  <c r="BY12" s="1"/>
  <c r="BZ12" s="1"/>
  <c r="BX12"/>
  <c r="BX28"/>
  <c r="BW28"/>
  <c r="BY28" s="1"/>
  <c r="BZ28" s="1"/>
  <c r="BW63"/>
  <c r="BY63" s="1"/>
  <c r="BZ63" s="1"/>
  <c r="BX63"/>
  <c r="BW70"/>
  <c r="BY70" s="1"/>
  <c r="BZ70" s="1"/>
  <c r="BX70"/>
  <c r="BW29"/>
  <c r="BY29" s="1"/>
  <c r="BZ29" s="1"/>
  <c r="BX29"/>
  <c r="BW41"/>
  <c r="BY41" s="1"/>
  <c r="BZ41" s="1"/>
  <c r="BX41"/>
  <c r="BW46"/>
  <c r="BY46" s="1"/>
  <c r="BZ46" s="1"/>
  <c r="BX46"/>
  <c r="BW23"/>
  <c r="BY23" s="1"/>
  <c r="BZ23" s="1"/>
  <c r="BX23"/>
  <c r="BW11"/>
  <c r="BY11" s="1"/>
  <c r="BZ11" s="1"/>
  <c r="BX11"/>
  <c r="BX48"/>
  <c r="BW48"/>
  <c r="BY48" s="1"/>
  <c r="BZ48" s="1"/>
  <c r="BW45"/>
  <c r="BY45" s="1"/>
  <c r="BZ45" s="1"/>
  <c r="BX45"/>
  <c r="BP67"/>
  <c r="BQ67" s="1"/>
  <c r="BR67" s="1"/>
  <c r="BD67" i="9" s="1"/>
  <c r="BE67" s="1"/>
  <c r="BB72" i="6"/>
  <c r="BL62"/>
  <c r="BB60" i="9"/>
  <c r="BA60" i="6"/>
  <c r="BA74" s="1"/>
  <c r="BB9"/>
  <c r="AZ74"/>
  <c r="AY74"/>
  <c r="AY60"/>
  <c r="AZ60" s="1"/>
  <c r="BI60"/>
  <c r="BJ60" s="1"/>
  <c r="BY22" i="9" l="1"/>
  <c r="CA22" s="1"/>
  <c r="CB22" s="1"/>
  <c r="BY68"/>
  <c r="CA68" s="1"/>
  <c r="CB68" s="1"/>
  <c r="BX17"/>
  <c r="CE17"/>
  <c r="BX25"/>
  <c r="CE25"/>
  <c r="BZ18"/>
  <c r="BY18"/>
  <c r="CA18" s="1"/>
  <c r="CB18" s="1"/>
  <c r="BZ58"/>
  <c r="BY58"/>
  <c r="CA58" s="1"/>
  <c r="CB58" s="1"/>
  <c r="BX40"/>
  <c r="CE40"/>
  <c r="BY34"/>
  <c r="CA34" s="1"/>
  <c r="CB34" s="1"/>
  <c r="BZ34"/>
  <c r="CE55"/>
  <c r="CE35"/>
  <c r="CE22"/>
  <c r="BY55"/>
  <c r="CA55" s="1"/>
  <c r="CB55" s="1"/>
  <c r="BX65"/>
  <c r="CE65"/>
  <c r="BX53"/>
  <c r="CE53"/>
  <c r="BX33"/>
  <c r="CE33"/>
  <c r="BX47"/>
  <c r="CE47"/>
  <c r="BX28"/>
  <c r="CE28"/>
  <c r="BX38"/>
  <c r="CE38"/>
  <c r="CE68"/>
  <c r="BZ11"/>
  <c r="BJ70"/>
  <c r="BK70" s="1"/>
  <c r="BL70" s="1"/>
  <c r="BM70" s="1"/>
  <c r="BN70" s="1"/>
  <c r="BP70" s="1"/>
  <c r="BQ70" s="1"/>
  <c r="BR70" s="1"/>
  <c r="BS70" s="1"/>
  <c r="BT70" s="1"/>
  <c r="BJ63"/>
  <c r="BK63" s="1"/>
  <c r="BL63" s="1"/>
  <c r="BM63" s="1"/>
  <c r="BN63" s="1"/>
  <c r="BP63" s="1"/>
  <c r="BQ63" s="1"/>
  <c r="BR63" s="1"/>
  <c r="BS63" s="1"/>
  <c r="BT63" s="1"/>
  <c r="BX63" s="1"/>
  <c r="BZ63" s="1"/>
  <c r="BZ51"/>
  <c r="BY51"/>
  <c r="CA51" s="1"/>
  <c r="CB51" s="1"/>
  <c r="BZ50"/>
  <c r="BY50"/>
  <c r="CA50" s="1"/>
  <c r="CB50" s="1"/>
  <c r="BZ14"/>
  <c r="BJ12"/>
  <c r="BK12" s="1"/>
  <c r="BL12" s="1"/>
  <c r="BM12" s="1"/>
  <c r="BN12" s="1"/>
  <c r="BP12" s="1"/>
  <c r="BQ12" s="1"/>
  <c r="BR12" s="1"/>
  <c r="BS12" s="1"/>
  <c r="BT12" s="1"/>
  <c r="BX12" s="1"/>
  <c r="BY12" s="1"/>
  <c r="CA12" s="1"/>
  <c r="CB12" s="1"/>
  <c r="BJ45"/>
  <c r="BK45" s="1"/>
  <c r="BL45" s="1"/>
  <c r="BM45" s="1"/>
  <c r="BN45" s="1"/>
  <c r="BP45" s="1"/>
  <c r="BQ45" s="1"/>
  <c r="BR45" s="1"/>
  <c r="BS45" s="1"/>
  <c r="BT45" s="1"/>
  <c r="BX45" s="1"/>
  <c r="BZ26"/>
  <c r="BZ42"/>
  <c r="BZ15"/>
  <c r="BY15"/>
  <c r="CA15" s="1"/>
  <c r="CB15" s="1"/>
  <c r="BZ37"/>
  <c r="BY37"/>
  <c r="CA37" s="1"/>
  <c r="CB37" s="1"/>
  <c r="BY49"/>
  <c r="CA49" s="1"/>
  <c r="CB49" s="1"/>
  <c r="BZ27"/>
  <c r="BY27"/>
  <c r="CA27" s="1"/>
  <c r="CB27" s="1"/>
  <c r="CE11"/>
  <c r="CE49"/>
  <c r="BZ35"/>
  <c r="BJ29"/>
  <c r="BK29" s="1"/>
  <c r="BL29" s="1"/>
  <c r="BM29" s="1"/>
  <c r="BN29" s="1"/>
  <c r="BP29" s="1"/>
  <c r="BQ29" s="1"/>
  <c r="BR29" s="1"/>
  <c r="BS29" s="1"/>
  <c r="BT29" s="1"/>
  <c r="CE14"/>
  <c r="CE18"/>
  <c r="BY31"/>
  <c r="CA31" s="1"/>
  <c r="CB31" s="1"/>
  <c r="BY54"/>
  <c r="CA54" s="1"/>
  <c r="CB54" s="1"/>
  <c r="BY16"/>
  <c r="CA16" s="1"/>
  <c r="CB16" s="1"/>
  <c r="BJ48"/>
  <c r="BK48" s="1"/>
  <c r="BL48" s="1"/>
  <c r="BM48" s="1"/>
  <c r="BN48" s="1"/>
  <c r="BP48" s="1"/>
  <c r="BQ48" s="1"/>
  <c r="BR48" s="1"/>
  <c r="BS48" s="1"/>
  <c r="BT48" s="1"/>
  <c r="CE26"/>
  <c r="CE46"/>
  <c r="CE31"/>
  <c r="CE42"/>
  <c r="BY46"/>
  <c r="CA46" s="1"/>
  <c r="CB46" s="1"/>
  <c r="BY20"/>
  <c r="CA20" s="1"/>
  <c r="CB20" s="1"/>
  <c r="CE16"/>
  <c r="CE54"/>
  <c r="CE20"/>
  <c r="CE58"/>
  <c r="AY74"/>
  <c r="AZ74"/>
  <c r="BB67" i="8"/>
  <c r="BF67" s="1"/>
  <c r="BG67" s="1"/>
  <c r="BA72"/>
  <c r="BA74" s="1"/>
  <c r="BF67" i="9"/>
  <c r="BG67"/>
  <c r="BY64"/>
  <c r="CA64" s="1"/>
  <c r="CB64" s="1"/>
  <c r="BZ64"/>
  <c r="BY69"/>
  <c r="CA69" s="1"/>
  <c r="CB69" s="1"/>
  <c r="BZ69"/>
  <c r="BY21"/>
  <c r="CA21" s="1"/>
  <c r="CB21" s="1"/>
  <c r="BZ21"/>
  <c r="BY66"/>
  <c r="CA66" s="1"/>
  <c r="CB66" s="1"/>
  <c r="BZ66"/>
  <c r="CE66"/>
  <c r="BA72"/>
  <c r="BA74" s="1"/>
  <c r="BB62"/>
  <c r="BB72" s="1"/>
  <c r="BB74" s="1"/>
  <c r="CE21"/>
  <c r="CE69"/>
  <c r="CE64"/>
  <c r="BK74" i="6"/>
  <c r="CC67"/>
  <c r="BV67"/>
  <c r="BL72"/>
  <c r="BN62"/>
  <c r="BL9"/>
  <c r="BB60"/>
  <c r="BB74" s="1"/>
  <c r="BZ40" i="9" l="1"/>
  <c r="BY40"/>
  <c r="CA40" s="1"/>
  <c r="CB40" s="1"/>
  <c r="BY17"/>
  <c r="CA17" s="1"/>
  <c r="CB17" s="1"/>
  <c r="BZ17"/>
  <c r="BY25"/>
  <c r="CA25" s="1"/>
  <c r="CB25" s="1"/>
  <c r="BZ25"/>
  <c r="BX48"/>
  <c r="CE48"/>
  <c r="BX29"/>
  <c r="CE29"/>
  <c r="BX70"/>
  <c r="CE70"/>
  <c r="BZ65"/>
  <c r="BY65"/>
  <c r="CA65" s="1"/>
  <c r="CB65" s="1"/>
  <c r="BZ53"/>
  <c r="BY53"/>
  <c r="CA53" s="1"/>
  <c r="CB53" s="1"/>
  <c r="BZ28"/>
  <c r="BY28"/>
  <c r="CA28" s="1"/>
  <c r="CB28" s="1"/>
  <c r="BZ12"/>
  <c r="BY38"/>
  <c r="CA38" s="1"/>
  <c r="CB38" s="1"/>
  <c r="BZ38"/>
  <c r="BY63"/>
  <c r="CA63" s="1"/>
  <c r="CB63" s="1"/>
  <c r="CE12"/>
  <c r="CE63"/>
  <c r="BZ33"/>
  <c r="BY33"/>
  <c r="CA33" s="1"/>
  <c r="CB33" s="1"/>
  <c r="BY47"/>
  <c r="CA47" s="1"/>
  <c r="CB47" s="1"/>
  <c r="BZ47"/>
  <c r="BM67" i="8"/>
  <c r="BM72" s="1"/>
  <c r="BM74" s="1"/>
  <c r="BB72"/>
  <c r="BB74" s="1"/>
  <c r="BI67" i="9"/>
  <c r="BY45"/>
  <c r="CA45" s="1"/>
  <c r="CB45" s="1"/>
  <c r="BZ45"/>
  <c r="CE45"/>
  <c r="BW67" i="6"/>
  <c r="BY67" s="1"/>
  <c r="BZ67" s="1"/>
  <c r="BX67"/>
  <c r="BN72"/>
  <c r="BO72" s="1"/>
  <c r="BP72" s="1"/>
  <c r="BO62"/>
  <c r="BN9"/>
  <c r="BL60"/>
  <c r="BL74" s="1"/>
  <c r="BJ67" i="9" l="1"/>
  <c r="BK67" s="1"/>
  <c r="BL67" s="1"/>
  <c r="BM67" s="1"/>
  <c r="BN67" s="1"/>
  <c r="BP67" s="1"/>
  <c r="BQ67" s="1"/>
  <c r="BR67" s="1"/>
  <c r="BS67" s="1"/>
  <c r="BT67" s="1"/>
  <c r="BZ29"/>
  <c r="BY29"/>
  <c r="CA29" s="1"/>
  <c r="CB29" s="1"/>
  <c r="BZ70"/>
  <c r="BY70"/>
  <c r="CA70" s="1"/>
  <c r="CB70" s="1"/>
  <c r="BZ48"/>
  <c r="BY48"/>
  <c r="CA48" s="1"/>
  <c r="CB48" s="1"/>
  <c r="BI67" i="8"/>
  <c r="BJ67" s="1"/>
  <c r="BH67"/>
  <c r="BH72" s="1"/>
  <c r="BH74" s="1"/>
  <c r="BF72"/>
  <c r="BG72" s="1"/>
  <c r="BI72" s="1"/>
  <c r="BJ72" s="1"/>
  <c r="BP62" i="6"/>
  <c r="BQ62" s="1"/>
  <c r="BR62" s="1"/>
  <c r="BO9"/>
  <c r="BN60"/>
  <c r="BX67" i="9" l="1"/>
  <c r="CE67"/>
  <c r="BF74" i="8"/>
  <c r="BG74" s="1"/>
  <c r="BI74" s="1"/>
  <c r="BJ74" s="1"/>
  <c r="BV62" i="6"/>
  <c r="BW62" s="1"/>
  <c r="BY62" s="1"/>
  <c r="BZ62" s="1"/>
  <c r="BD62" i="9"/>
  <c r="BP9" i="6"/>
  <c r="BQ9" s="1"/>
  <c r="BQ60" s="1"/>
  <c r="BQ72"/>
  <c r="BN74"/>
  <c r="BO74" s="1"/>
  <c r="BP74" s="1"/>
  <c r="BO60"/>
  <c r="BP60" s="1"/>
  <c r="CC62"/>
  <c r="CC72" s="1"/>
  <c r="BR72"/>
  <c r="BZ67" i="9" l="1"/>
  <c r="BY67"/>
  <c r="CA67" s="1"/>
  <c r="CB67" s="1"/>
  <c r="BE62"/>
  <c r="BD72"/>
  <c r="BE72" s="1"/>
  <c r="BX62" i="6"/>
  <c r="BX72" s="1"/>
  <c r="BV72"/>
  <c r="BW72" s="1"/>
  <c r="BY72" s="1"/>
  <c r="BZ72" s="1"/>
  <c r="BQ74"/>
  <c r="BR9"/>
  <c r="BF62" i="9" l="1"/>
  <c r="BG62"/>
  <c r="BV9" i="6"/>
  <c r="BW9" s="1"/>
  <c r="BY9" s="1"/>
  <c r="BZ9" s="1"/>
  <c r="BD9" i="9"/>
  <c r="BF72"/>
  <c r="BG72"/>
  <c r="CC9" i="6"/>
  <c r="CC60" s="1"/>
  <c r="CC74" s="1"/>
  <c r="BR60"/>
  <c r="BR74" s="1"/>
  <c r="BI72" i="9" l="1"/>
  <c r="BJ72" s="1"/>
  <c r="BK72" s="1"/>
  <c r="BL72" s="1"/>
  <c r="BI62"/>
  <c r="BX9" i="6"/>
  <c r="BX60" s="1"/>
  <c r="BX74" s="1"/>
  <c r="BV60"/>
  <c r="BW60" s="1"/>
  <c r="BE9" i="9"/>
  <c r="BD60"/>
  <c r="BT60" i="6"/>
  <c r="BJ62" i="9" l="1"/>
  <c r="BK62" s="1"/>
  <c r="BL62" s="1"/>
  <c r="BM62" s="1"/>
  <c r="BT74" i="6"/>
  <c r="BU74" s="1"/>
  <c r="BU60"/>
  <c r="BY60" s="1"/>
  <c r="BZ60" s="1"/>
  <c r="BF9" i="9"/>
  <c r="BG9"/>
  <c r="BI9" s="1"/>
  <c r="BV74" i="6"/>
  <c r="BW74" s="1"/>
  <c r="BE60" i="9"/>
  <c r="BD74"/>
  <c r="BE74" s="1"/>
  <c r="BN62" l="1"/>
  <c r="BP62" s="1"/>
  <c r="BP72" s="1"/>
  <c r="BQ72" s="1"/>
  <c r="BR72" s="1"/>
  <c r="BM72"/>
  <c r="BJ9"/>
  <c r="BK9" s="1"/>
  <c r="BL9" s="1"/>
  <c r="BM9" s="1"/>
  <c r="BY74" i="6"/>
  <c r="BZ74" s="1"/>
  <c r="BF74" i="9"/>
  <c r="BG74"/>
  <c r="BF60"/>
  <c r="BG60"/>
  <c r="BI60" s="1"/>
  <c r="BJ60" s="1"/>
  <c r="BK60" s="1"/>
  <c r="BL60" s="1"/>
  <c r="BM60" l="1"/>
  <c r="BM74" s="1"/>
  <c r="BN9"/>
  <c r="BN60" s="1"/>
  <c r="BN74" s="1"/>
  <c r="BN72"/>
  <c r="BQ62"/>
  <c r="BR62" s="1"/>
  <c r="BS62" s="1"/>
  <c r="BI74"/>
  <c r="BJ74" s="1"/>
  <c r="BK74" s="1"/>
  <c r="BL74" s="1"/>
  <c r="BP9" l="1"/>
  <c r="BQ9" s="1"/>
  <c r="BR9" s="1"/>
  <c r="BS9" s="1"/>
  <c r="BS72"/>
  <c r="BT62"/>
  <c r="BX62" s="1"/>
  <c r="BP60" l="1"/>
  <c r="BP74" s="1"/>
  <c r="BQ74" s="1"/>
  <c r="BR74" s="1"/>
  <c r="BY62"/>
  <c r="CA62" s="1"/>
  <c r="CB62" s="1"/>
  <c r="BZ62"/>
  <c r="BZ72" s="1"/>
  <c r="BX72"/>
  <c r="BT72"/>
  <c r="CE62"/>
  <c r="CE72" s="1"/>
  <c r="BS60"/>
  <c r="BS74" s="1"/>
  <c r="BT9"/>
  <c r="BX9" s="1"/>
  <c r="BY9" s="1"/>
  <c r="BQ60" l="1"/>
  <c r="BR60" s="1"/>
  <c r="BY72"/>
  <c r="CA72" s="1"/>
  <c r="CB72" s="1"/>
  <c r="CA9"/>
  <c r="CB9" s="1"/>
  <c r="BZ9"/>
  <c r="BZ60" s="1"/>
  <c r="BZ74" s="1"/>
  <c r="BX60"/>
  <c r="BY60" s="1"/>
  <c r="BT60"/>
  <c r="BT74" s="1"/>
  <c r="CE9"/>
  <c r="CE60" s="1"/>
  <c r="CE74" s="1"/>
  <c r="BX74" l="1"/>
  <c r="CA60"/>
  <c r="CB60" s="1"/>
  <c r="BY74" l="1"/>
  <c r="CA74" s="1"/>
  <c r="CB74" s="1"/>
</calcChain>
</file>

<file path=xl/comments1.xml><?xml version="1.0" encoding="utf-8"?>
<comments xmlns="http://schemas.openxmlformats.org/spreadsheetml/2006/main">
  <authors>
    <author>Richard Hartle</author>
  </authors>
  <commentList>
    <comment ref="AI76" authorId="0">
      <text>
        <r>
          <rPr>
            <b/>
            <sz val="12"/>
            <color indexed="81"/>
            <rFont val="Arial"/>
            <family val="2"/>
          </rPr>
          <t>Primary Only: Notional Premises Funding - Per Pupil</t>
        </r>
      </text>
    </comment>
    <comment ref="AI77" authorId="0">
      <text>
        <r>
          <rPr>
            <b/>
            <sz val="12"/>
            <color indexed="81"/>
            <rFont val="Arial"/>
            <family val="2"/>
          </rPr>
          <t>Primary Only: Notional Premises Funding - Lump Sum</t>
        </r>
      </text>
    </comment>
    <comment ref="AI79" authorId="0">
      <text>
        <r>
          <rPr>
            <b/>
            <sz val="12"/>
            <color indexed="81"/>
            <rFont val="Arial"/>
            <family val="2"/>
          </rPr>
          <t>Primary Only: Assumed PFI Contract Cost Annual Increase</t>
        </r>
      </text>
    </comment>
  </commentList>
</comments>
</file>

<file path=xl/comments2.xml><?xml version="1.0" encoding="utf-8"?>
<comments xmlns="http://schemas.openxmlformats.org/spreadsheetml/2006/main">
  <authors>
    <author>Richard Hartle</author>
  </authors>
  <commentList>
    <comment ref="AI76" authorId="0">
      <text>
        <r>
          <rPr>
            <b/>
            <sz val="12"/>
            <color indexed="81"/>
            <rFont val="Arial"/>
            <family val="2"/>
          </rPr>
          <t>Primary Only: Notional Premises Funding - Per Pupil</t>
        </r>
      </text>
    </comment>
    <comment ref="AI77" authorId="0">
      <text>
        <r>
          <rPr>
            <b/>
            <sz val="12"/>
            <color indexed="81"/>
            <rFont val="Arial"/>
            <family val="2"/>
          </rPr>
          <t>Primary Only: Notional Premises Funding - Lump Sum</t>
        </r>
      </text>
    </comment>
    <comment ref="AI79" authorId="0">
      <text>
        <r>
          <rPr>
            <b/>
            <sz val="12"/>
            <color indexed="81"/>
            <rFont val="Arial"/>
            <family val="2"/>
          </rPr>
          <t>Primary Only: Assumed PFI Contract Cost Annual Increase</t>
        </r>
      </text>
    </comment>
  </commentList>
</comments>
</file>

<file path=xl/comments3.xml><?xml version="1.0" encoding="utf-8"?>
<comments xmlns="http://schemas.openxmlformats.org/spreadsheetml/2006/main">
  <authors>
    <author>Richard Hartle</author>
  </authors>
  <commentList>
    <comment ref="AI76" authorId="0">
      <text>
        <r>
          <rPr>
            <b/>
            <sz val="12"/>
            <color indexed="81"/>
            <rFont val="Arial"/>
            <family val="2"/>
          </rPr>
          <t>Primary Only: Notional Premises Funding - Per Pupil</t>
        </r>
      </text>
    </comment>
    <comment ref="AI77" authorId="0">
      <text>
        <r>
          <rPr>
            <b/>
            <sz val="12"/>
            <color indexed="81"/>
            <rFont val="Arial"/>
            <family val="2"/>
          </rPr>
          <t>Primary Only: Notional Premises Funding - Lump Sum</t>
        </r>
      </text>
    </comment>
    <comment ref="AI79" authorId="0">
      <text>
        <r>
          <rPr>
            <b/>
            <sz val="12"/>
            <color indexed="81"/>
            <rFont val="Arial"/>
            <family val="2"/>
          </rPr>
          <t>Primary Only: Assumed PFI Contract Cost Annual Increase</t>
        </r>
      </text>
    </comment>
  </commentList>
</comments>
</file>

<file path=xl/sharedStrings.xml><?xml version="1.0" encoding="utf-8"?>
<sst xmlns="http://schemas.openxmlformats.org/spreadsheetml/2006/main" count="1756" uniqueCount="382">
  <si>
    <t>£</t>
  </si>
  <si>
    <t>2018/19</t>
  </si>
  <si>
    <t>Variation</t>
  </si>
  <si>
    <t>%</t>
  </si>
  <si>
    <t>Target</t>
  </si>
  <si>
    <t>Pupil</t>
  </si>
  <si>
    <t>Numbers</t>
  </si>
  <si>
    <t>Fulford</t>
  </si>
  <si>
    <t>Joseph Rowntree</t>
  </si>
  <si>
    <t>Acomb</t>
  </si>
  <si>
    <t>All Saints RC</t>
  </si>
  <si>
    <t>Archbishop of York's CE Junior</t>
  </si>
  <si>
    <t>Archbishop Holgate's CE</t>
  </si>
  <si>
    <t>Badger Hill</t>
  </si>
  <si>
    <t>Academy</t>
  </si>
  <si>
    <t>No</t>
  </si>
  <si>
    <t>Multi</t>
  </si>
  <si>
    <t>Trust</t>
  </si>
  <si>
    <t>Bishopthorpe Infant</t>
  </si>
  <si>
    <t>Burton Green</t>
  </si>
  <si>
    <t>Carr Infant</t>
  </si>
  <si>
    <t>Carr Junior</t>
  </si>
  <si>
    <t>Clifton Green</t>
  </si>
  <si>
    <t>Clifton with Rawcliffe</t>
  </si>
  <si>
    <t>Copmanthorpe</t>
  </si>
  <si>
    <t>Dringhouses</t>
  </si>
  <si>
    <t>Dunnington CE</t>
  </si>
  <si>
    <t>Elvington CE</t>
  </si>
  <si>
    <t>Fishergate</t>
  </si>
  <si>
    <t>Haxby Road</t>
  </si>
  <si>
    <t>Headlands</t>
  </si>
  <si>
    <t>Hempland</t>
  </si>
  <si>
    <t>Heworth CE</t>
  </si>
  <si>
    <t>Hob Moor</t>
  </si>
  <si>
    <t>Huntington (P)</t>
  </si>
  <si>
    <t>Huntington (S)</t>
  </si>
  <si>
    <t>Knavesmire</t>
  </si>
  <si>
    <t>Lakeside</t>
  </si>
  <si>
    <t>Lord Deramore's VC</t>
  </si>
  <si>
    <t>Manor CE</t>
  </si>
  <si>
    <t>Millthorpe</t>
  </si>
  <si>
    <t>Naburn CE</t>
  </si>
  <si>
    <t>Osbaldwick</t>
  </si>
  <si>
    <t>Park Grove</t>
  </si>
  <si>
    <t>Poppleton Ousebank</t>
  </si>
  <si>
    <t>Poppleton Road</t>
  </si>
  <si>
    <t>Ralph Butterfield</t>
  </si>
  <si>
    <t>Robert Wilkinson</t>
  </si>
  <si>
    <t>Rufforth</t>
  </si>
  <si>
    <t>St Barnabas CE</t>
  </si>
  <si>
    <t>Scarcroft</t>
  </si>
  <si>
    <t>Skelton</t>
  </si>
  <si>
    <t>St Aelred's RC</t>
  </si>
  <si>
    <t>St George's RC</t>
  </si>
  <si>
    <t>St Mary's CE</t>
  </si>
  <si>
    <t>St Oswald's CE</t>
  </si>
  <si>
    <t>St Pauls CE</t>
  </si>
  <si>
    <t>Stockton-on-the-Forest</t>
  </si>
  <si>
    <t>Tang Hall</t>
  </si>
  <si>
    <t>Westfield</t>
  </si>
  <si>
    <t>Wheldrake with Thorganby CE</t>
  </si>
  <si>
    <t>Wigginton</t>
  </si>
  <si>
    <t>Woodthorpe</t>
  </si>
  <si>
    <t>Yearsley Grove</t>
  </si>
  <si>
    <t>York High</t>
  </si>
  <si>
    <t>New Earswick VA</t>
  </si>
  <si>
    <t>Our Lady Queen of Martyrs RC</t>
  </si>
  <si>
    <t>St Lawrence's CE</t>
  </si>
  <si>
    <t>St Wilfrid's RC</t>
  </si>
  <si>
    <t>Yes</t>
  </si>
  <si>
    <t>Pathfinder</t>
  </si>
  <si>
    <t>Hope</t>
  </si>
  <si>
    <t>Ebor</t>
  </si>
  <si>
    <t>Southbank</t>
  </si>
  <si>
    <t>Stand Alone</t>
  </si>
  <si>
    <t>£/Pupil</t>
  </si>
  <si>
    <t>Funding Allocation</t>
  </si>
  <si>
    <t>York</t>
  </si>
  <si>
    <t>Funding</t>
  </si>
  <si>
    <t>Factor</t>
  </si>
  <si>
    <t>Weighting</t>
  </si>
  <si>
    <t>NFF</t>
  </si>
  <si>
    <t>Value</t>
  </si>
  <si>
    <t>Basic AWPU:</t>
  </si>
  <si>
    <t xml:space="preserve">  Primary</t>
  </si>
  <si>
    <t xml:space="preserve">  KS3</t>
  </si>
  <si>
    <t xml:space="preserve">  KS4</t>
  </si>
  <si>
    <t>Deprivation:</t>
  </si>
  <si>
    <t xml:space="preserve">  FSM Pri</t>
  </si>
  <si>
    <t xml:space="preserve">  FSM Sec</t>
  </si>
  <si>
    <t xml:space="preserve">  Ever6 Pri</t>
  </si>
  <si>
    <t xml:space="preserve">  Ever6 Sec</t>
  </si>
  <si>
    <t xml:space="preserve">  IDACI A Pri</t>
  </si>
  <si>
    <t xml:space="preserve">  IDACI A Sec</t>
  </si>
  <si>
    <t xml:space="preserve">  IDACI B Pri</t>
  </si>
  <si>
    <t xml:space="preserve">  IDACI B Sec</t>
  </si>
  <si>
    <t xml:space="preserve">  IDACI C Pri</t>
  </si>
  <si>
    <t xml:space="preserve">  IDACI C Sec</t>
  </si>
  <si>
    <t xml:space="preserve">  IDACI D Pri</t>
  </si>
  <si>
    <t xml:space="preserve">  IDACI D Sec</t>
  </si>
  <si>
    <t xml:space="preserve">  IDACI E Pri</t>
  </si>
  <si>
    <t xml:space="preserve">  IDACI E Sec</t>
  </si>
  <si>
    <t xml:space="preserve">  IDACI F Pri</t>
  </si>
  <si>
    <t xml:space="preserve">  IDACI F Sec</t>
  </si>
  <si>
    <t>Low Prior Attainment:</t>
  </si>
  <si>
    <t xml:space="preserve">  Secondary</t>
  </si>
  <si>
    <t>English as an Additional Language:</t>
  </si>
  <si>
    <t>Looked After Children:</t>
  </si>
  <si>
    <t>Nil</t>
  </si>
  <si>
    <t>Pupil Mobility:</t>
  </si>
  <si>
    <t>Lump Sum (per school):</t>
  </si>
  <si>
    <t>Sparsity (per school):</t>
  </si>
  <si>
    <t>£0-£25,000</t>
  </si>
  <si>
    <t>£0-£65,000</t>
  </si>
  <si>
    <t>N/A</t>
  </si>
  <si>
    <t>Premises Factors:</t>
  </si>
  <si>
    <t xml:space="preserve">  Rates</t>
  </si>
  <si>
    <t xml:space="preserve">  PFI Charges</t>
  </si>
  <si>
    <t xml:space="preserve">  Split Sites</t>
  </si>
  <si>
    <t>Actual Cost</t>
  </si>
  <si>
    <t>2018/19: Actual Cost</t>
  </si>
  <si>
    <t>2019/20: TBC</t>
  </si>
  <si>
    <t>2018/19: Current LA</t>
  </si>
  <si>
    <t>£198 per pupil</t>
  </si>
  <si>
    <t>Pupil Growth Funding:</t>
  </si>
  <si>
    <t>Area Cost Adjustment:</t>
  </si>
  <si>
    <t>Included</t>
  </si>
  <si>
    <t xml:space="preserve">  To reflect area-related</t>
  </si>
  <si>
    <t xml:space="preserve">  costs in schools'</t>
  </si>
  <si>
    <t xml:space="preserve">  funding allocations</t>
  </si>
  <si>
    <t>%ages</t>
  </si>
  <si>
    <t>Multiplier to all factors of</t>
  </si>
  <si>
    <t>between 0% to 18% per</t>
  </si>
  <si>
    <t>LA area.    For York = 0%</t>
  </si>
  <si>
    <t>In Above</t>
  </si>
  <si>
    <t xml:space="preserve">  Funding for Infant</t>
  </si>
  <si>
    <t xml:space="preserve">  Class Sizes and</t>
  </si>
  <si>
    <t xml:space="preserve">  in year pupil increases</t>
  </si>
  <si>
    <t>ICS Formula &amp;</t>
  </si>
  <si>
    <t>LA supported</t>
  </si>
  <si>
    <t>pupil growth</t>
  </si>
  <si>
    <t>2017/18</t>
  </si>
  <si>
    <t>Baseline 2017/18</t>
  </si>
  <si>
    <t>2017/18 to 2018/19</t>
  </si>
  <si>
    <t>2017/18 to Target</t>
  </si>
  <si>
    <t>2019/20</t>
  </si>
  <si>
    <t>Notional 2018/19</t>
  </si>
  <si>
    <t>Illustrative 2019/20</t>
  </si>
  <si>
    <t>Illustrative Target</t>
  </si>
  <si>
    <t>2017/18 to 2019/20</t>
  </si>
  <si>
    <t>Vale of York</t>
  </si>
  <si>
    <t>Previous year actual</t>
  </si>
  <si>
    <t>Minimum Per Pupil Funding</t>
  </si>
  <si>
    <t>Primary</t>
  </si>
  <si>
    <t>Secondary</t>
  </si>
  <si>
    <t>2018/19: £3,300</t>
  </si>
  <si>
    <t>2019/20: £3,500</t>
  </si>
  <si>
    <t>2018/19: £4,600</t>
  </si>
  <si>
    <t>2019/20: £4,800</t>
  </si>
  <si>
    <t>Total</t>
  </si>
  <si>
    <t>Change</t>
  </si>
  <si>
    <t>PFI</t>
  </si>
  <si>
    <t>DfE</t>
  </si>
  <si>
    <t>Adjusted</t>
  </si>
  <si>
    <t>No.</t>
  </si>
  <si>
    <t>School Name</t>
  </si>
  <si>
    <t>PRIMARY SCHOOLS</t>
  </si>
  <si>
    <t>Primary Schools Total</t>
  </si>
  <si>
    <t>SECONDARY SCHOOLS</t>
  </si>
  <si>
    <t>TOTAL ALL SCHOOLS</t>
  </si>
  <si>
    <t>Secondary Schools Total</t>
  </si>
  <si>
    <t>fte</t>
  </si>
  <si>
    <t>Places</t>
  </si>
  <si>
    <t>Uplift</t>
  </si>
  <si>
    <t>BASELINE FUNDING ADJUSTMENT</t>
  </si>
  <si>
    <t>As Per</t>
  </si>
  <si>
    <t>High</t>
  </si>
  <si>
    <t>Needs</t>
  </si>
  <si>
    <t>Rece-</t>
  </si>
  <si>
    <t>-ption</t>
  </si>
  <si>
    <t>BASELINE PUPIL ADJUSTMENT</t>
  </si>
  <si>
    <t>Back-</t>
  </si>
  <si>
    <t>-dated</t>
  </si>
  <si>
    <t>Basic Per Pupil Funding</t>
  </si>
  <si>
    <t>AWPU</t>
  </si>
  <si>
    <t>KS3</t>
  </si>
  <si>
    <t>KS4</t>
  </si>
  <si>
    <t>OCTOBER 2016 SCHOOL CENSUS DATA - AS USED FOR 2017/18 FORMULA FUNDING ALLOCATIONS</t>
  </si>
  <si>
    <t>Deprivation Funding Factors</t>
  </si>
  <si>
    <t>Deprivation Funding</t>
  </si>
  <si>
    <t>FSM</t>
  </si>
  <si>
    <t>Current</t>
  </si>
  <si>
    <t>Ever6</t>
  </si>
  <si>
    <t>IDACI</t>
  </si>
  <si>
    <t>Band A</t>
  </si>
  <si>
    <t>Band B</t>
  </si>
  <si>
    <t>Band C</t>
  </si>
  <si>
    <t>Band D</t>
  </si>
  <si>
    <t>Band E</t>
  </si>
  <si>
    <t>Band F</t>
  </si>
  <si>
    <t>Low</t>
  </si>
  <si>
    <t>Prior</t>
  </si>
  <si>
    <t>Attainment</t>
  </si>
  <si>
    <t>English As</t>
  </si>
  <si>
    <t>An Additional</t>
  </si>
  <si>
    <t>Language</t>
  </si>
  <si>
    <t>Mobility</t>
  </si>
  <si>
    <t>Lump</t>
  </si>
  <si>
    <t>Sum</t>
  </si>
  <si>
    <t>Sparsity</t>
  </si>
  <si>
    <t>Business</t>
  </si>
  <si>
    <t>Rates</t>
  </si>
  <si>
    <t>Private</t>
  </si>
  <si>
    <t>Finance</t>
  </si>
  <si>
    <t>Initiative</t>
  </si>
  <si>
    <t>Split</t>
  </si>
  <si>
    <t>Sites</t>
  </si>
  <si>
    <t xml:space="preserve">Actual </t>
  </si>
  <si>
    <t>Area</t>
  </si>
  <si>
    <t>Cost</t>
  </si>
  <si>
    <t>Adjustment</t>
  </si>
  <si>
    <t>Formula</t>
  </si>
  <si>
    <t>Site</t>
  </si>
  <si>
    <t>School</t>
  </si>
  <si>
    <t>Yes/No</t>
  </si>
  <si>
    <t>Criteria</t>
  </si>
  <si>
    <t>Met?</t>
  </si>
  <si>
    <t>MINIMUM PER PUPIL FUNDING GUARANTEE</t>
  </si>
  <si>
    <t>Remove</t>
  </si>
  <si>
    <t>Premises</t>
  </si>
  <si>
    <t>Per</t>
  </si>
  <si>
    <t>Additional</t>
  </si>
  <si>
    <t>Requirement</t>
  </si>
  <si>
    <t>Revised</t>
  </si>
  <si>
    <t>MFG</t>
  </si>
  <si>
    <t>Per Pupil</t>
  </si>
  <si>
    <t>In MFG</t>
  </si>
  <si>
    <t>Post</t>
  </si>
  <si>
    <t>MINIMUM FUNDING FLOOR GUARANTEE (+0.5% PER PUPIL)</t>
  </si>
  <si>
    <t>Capping</t>
  </si>
  <si>
    <t>20% of</t>
  </si>
  <si>
    <t>Remaining</t>
  </si>
  <si>
    <t>Gain</t>
  </si>
  <si>
    <t>Maximum</t>
  </si>
  <si>
    <t>Additional MFG</t>
  </si>
  <si>
    <t>Funding Protection</t>
  </si>
  <si>
    <t>Maximum Capped</t>
  </si>
  <si>
    <t>Funding Reduction</t>
  </si>
  <si>
    <t>Cap</t>
  </si>
  <si>
    <t>MAXIMUM FUNDING INCREASE CAPPING (+3.0% PER PUPIL OR 20% OF GAIN)</t>
  </si>
  <si>
    <t>RE-APPLY MINIMUM PER PUPIL FUNDING GUARANTEE</t>
  </si>
  <si>
    <t>ILLUSTRATIVE FUNDING UNDER PROPOSED YORK FORMULA ASSUMING FULLY IMPLEMENTED WITH NO TRANSITIONAL ARRANGEMENTS - BASED ON 2017/18 PUPIL NUMBERS AND DATA SET</t>
  </si>
  <si>
    <t>MINIMUM FUNDING FLOOR GUARANTEE (+1.0% PER PUPIL)</t>
  </si>
  <si>
    <t>COMPARE TO DfE</t>
  </si>
  <si>
    <t>Published</t>
  </si>
  <si>
    <t>Variance</t>
  </si>
  <si>
    <t>Rounded</t>
  </si>
  <si>
    <t>IMPACT OF PROPOSED NATIONAL SCHOOL FUNDING FORMULA ON YORK PRIMARY SCHOOLS - DfE PUBLISHED FIGURES</t>
  </si>
  <si>
    <t>2019/20 ILLUSTRATIVE FUNDING UNDER PROPOSED YORK FORMULA - BASED ON 2017/18 PUPIL NUMBERS AND DATA SET</t>
  </si>
  <si>
    <t>Baseline</t>
  </si>
  <si>
    <t>Provisional</t>
  </si>
  <si>
    <t>INCREASE IN FUNDING - 2017/18 BASELINE TO 2018/19 PROVISIONAL</t>
  </si>
  <si>
    <t>MINIMUM FUNDING FLOOR GUARANTEE (+1.0% PER PUPIL OVER 2017/18 BASELINE)</t>
  </si>
  <si>
    <t>MAXIMUM FUNDING INCREASE CAPPING (+3.0% PER PUPIL OR 20% OF REMAINING GAIN)</t>
  </si>
  <si>
    <t>Year Groups</t>
  </si>
  <si>
    <t>Number</t>
  </si>
  <si>
    <t>Average</t>
  </si>
  <si>
    <t>Distance</t>
  </si>
  <si>
    <t>miles</t>
  </si>
  <si>
    <t>Primary Sparsity Thresholds</t>
  </si>
  <si>
    <t>Secondary Sparsity Thresholds</t>
  </si>
  <si>
    <t>ISB</t>
  </si>
  <si>
    <t>Small</t>
  </si>
  <si>
    <t>Full</t>
  </si>
  <si>
    <t>Final</t>
  </si>
  <si>
    <t xml:space="preserve">Funding </t>
  </si>
  <si>
    <t>Funding Increase</t>
  </si>
  <si>
    <t>Manual
Calculation</t>
  </si>
  <si>
    <t xml:space="preserve">PRIMARY FUNDING FACTOR VALUES </t>
  </si>
  <si>
    <t xml:space="preserve">SECONDARY FUNDING FACTOR VALUES </t>
  </si>
  <si>
    <t>Charge</t>
  </si>
  <si>
    <t>INCREASE IN FUNDING - 2017/18 BASELINE TO 2019/20 ILLUSTRATIVE</t>
  </si>
  <si>
    <t>INCREASE IN FUNDING - 2017/18 BASELINE TO TARGET ILLUSTRATIVE</t>
  </si>
  <si>
    <t>Illustrative</t>
  </si>
  <si>
    <t>Small School Sparsity Factor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</si>
  <si>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</si>
  <si>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</si>
  <si>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</si>
  <si>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</si>
  <si>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</si>
  <si>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</si>
  <si>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</si>
  <si>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</si>
  <si>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</si>
  <si>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</si>
  <si>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L</t>
  </si>
  <si>
    <t>K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</si>
  <si>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</si>
  <si>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</si>
  <si>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</si>
  <si>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</si>
  <si>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</si>
  <si>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</si>
  <si>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</si>
  <si>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</si>
  <si>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</si>
  <si>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</si>
  <si>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</si>
  <si>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</si>
  <si>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</si>
  <si>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</si>
  <si>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</si>
  <si>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</si>
  <si>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</si>
  <si>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</si>
  <si>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</si>
  <si>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</si>
  <si>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</si>
  <si>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</si>
  <si>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</si>
  <si>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</si>
  <si>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</si>
  <si>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</si>
  <si>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</si>
  <si>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</si>
  <si>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</si>
  <si>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</si>
  <si>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</si>
  <si>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</si>
  <si>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</si>
  <si>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</si>
  <si>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</si>
  <si>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</si>
  <si>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</si>
  <si>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</si>
  <si>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</si>
  <si>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</si>
  <si>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</si>
  <si>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</si>
  <si>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</si>
  <si>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</si>
  <si>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</si>
  <si>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</si>
  <si>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</si>
  <si>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</si>
  <si>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</si>
  <si>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</si>
  <si>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</si>
  <si>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</si>
  <si>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</si>
  <si>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</si>
  <si>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</si>
  <si>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</si>
  <si>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</si>
  <si>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</si>
  <si>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2018/19 PROVISIONAL FUNDING UNDER PROPOSED YORK FORMULA  PRIOR TO MFG AND TRANSITION - BASED ON 2017/18 PUPIL NUMBERS AND DATA SET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</si>
  <si>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</si>
  <si>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</si>
  <si>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</si>
  <si>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</si>
  <si>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</si>
  <si>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</si>
  <si>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</si>
  <si>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</si>
  <si>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</si>
  <si>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</si>
  <si>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</si>
  <si>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</si>
  <si>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</si>
  <si>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</si>
  <si>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</si>
  <si>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</si>
  <si>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</si>
  <si>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s</t>
  </si>
  <si>
    <t>t</t>
  </si>
  <si>
    <t>u</t>
  </si>
  <si>
    <t>v</t>
  </si>
  <si>
    <t>w</t>
  </si>
  <si>
    <t>x</t>
  </si>
  <si>
    <t>y</t>
  </si>
  <si>
    <t>r1, r2, r3</t>
  </si>
  <si>
    <t>Level</t>
  </si>
</sst>
</file>

<file path=xl/styles.xml><?xml version="1.0" encoding="utf-8"?>
<styleSheet xmlns="http://schemas.openxmlformats.org/spreadsheetml/2006/main">
  <numFmts count="17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\+#,##0_-;[Red]\-\ #,##0_-;_-&quot;-&quot;??_-;_-@_-"/>
    <numFmt numFmtId="167" formatCode="\+0.0%;[Red]\-\ 0.0%;0.0%"/>
    <numFmt numFmtId="168" formatCode="_-&quot;£&quot;#,##0_-;\-&quot;£&quot;#,##0_-;_-_£* &quot;-&quot;??_-;_-@_-"/>
    <numFmt numFmtId="169" formatCode="#,##0_);\(#,##0\);&quot;&quot;"/>
    <numFmt numFmtId="170" formatCode="#,##0_);\(#,##0\);0_)"/>
    <numFmt numFmtId="171" formatCode="#,##0_);[Red]\(#,##0\);0_)"/>
    <numFmt numFmtId="172" formatCode="\+#,##0_);\-#,##0_);&quot; &quot;"/>
    <numFmt numFmtId="173" formatCode="\+#,##0_);\-#,##0_);0_)"/>
    <numFmt numFmtId="174" formatCode="#,##0.00_);[Red]\(#,##0.00\);0.00_)"/>
    <numFmt numFmtId="175" formatCode="#,##0_);\-#,##0_);0_)"/>
    <numFmt numFmtId="176" formatCode="\+0.0%"/>
    <numFmt numFmtId="177" formatCode="#,##0_);[Red]\(#,##0\);&quot;&quot;"/>
    <numFmt numFmtId="178" formatCode="\+0.0%;\-0.0%;0.0%"/>
  </numFmts>
  <fonts count="15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0" tint="-0.499984740745262"/>
      <name val="Arial"/>
      <family val="2"/>
    </font>
    <font>
      <sz val="12"/>
      <color theme="0" tint="-0.499984740745262"/>
      <name val="Arial"/>
      <family val="2"/>
    </font>
    <font>
      <b/>
      <sz val="12"/>
      <color indexed="81"/>
      <name val="Arial"/>
      <family val="2"/>
    </font>
    <font>
      <b/>
      <sz val="10"/>
      <name val="Arial"/>
      <family val="2"/>
    </font>
    <font>
      <b/>
      <sz val="12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</borders>
  <cellStyleXfs count="18">
    <xf numFmtId="0" fontId="0" fillId="0" borderId="0"/>
    <xf numFmtId="0" fontId="3" fillId="0" borderId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5" fillId="0" borderId="0"/>
    <xf numFmtId="0" fontId="3" fillId="0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18">
    <xf numFmtId="0" fontId="0" fillId="0" borderId="0" xfId="0"/>
    <xf numFmtId="0" fontId="6" fillId="0" borderId="0" xfId="0" applyFont="1"/>
    <xf numFmtId="165" fontId="6" fillId="0" borderId="0" xfId="2" applyNumberFormat="1" applyFont="1"/>
    <xf numFmtId="164" fontId="6" fillId="0" borderId="0" xfId="15" applyNumberFormat="1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5" fontId="6" fillId="0" borderId="1" xfId="2" applyNumberFormat="1" applyFont="1" applyBorder="1"/>
    <xf numFmtId="165" fontId="6" fillId="0" borderId="2" xfId="2" applyNumberFormat="1" applyFont="1" applyBorder="1"/>
    <xf numFmtId="166" fontId="6" fillId="0" borderId="1" xfId="2" applyNumberFormat="1" applyFont="1" applyBorder="1"/>
    <xf numFmtId="166" fontId="6" fillId="0" borderId="3" xfId="2" applyNumberFormat="1" applyFont="1" applyBorder="1"/>
    <xf numFmtId="167" fontId="6" fillId="0" borderId="2" xfId="15" applyNumberFormat="1" applyFont="1" applyBorder="1"/>
    <xf numFmtId="0" fontId="6" fillId="0" borderId="0" xfId="0" applyFont="1" applyFill="1" applyBorder="1"/>
    <xf numFmtId="0" fontId="8" fillId="0" borderId="0" xfId="0" applyFont="1"/>
    <xf numFmtId="165" fontId="8" fillId="0" borderId="0" xfId="2" applyNumberFormat="1" applyFont="1"/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165" fontId="9" fillId="0" borderId="6" xfId="2" applyNumberFormat="1" applyFont="1" applyBorder="1" applyAlignment="1">
      <alignment horizontal="center"/>
    </xf>
    <xf numFmtId="165" fontId="9" fillId="0" borderId="7" xfId="2" applyNumberFormat="1" applyFont="1" applyBorder="1" applyAlignment="1">
      <alignment horizontal="center"/>
    </xf>
    <xf numFmtId="0" fontId="9" fillId="0" borderId="4" xfId="0" applyFont="1" applyBorder="1"/>
    <xf numFmtId="165" fontId="9" fillId="0" borderId="8" xfId="2" applyNumberFormat="1" applyFont="1" applyBorder="1"/>
    <xf numFmtId="165" fontId="9" fillId="0" borderId="9" xfId="2" applyNumberFormat="1" applyFont="1" applyBorder="1"/>
    <xf numFmtId="0" fontId="9" fillId="2" borderId="10" xfId="0" applyFont="1" applyFill="1" applyBorder="1"/>
    <xf numFmtId="168" fontId="9" fillId="2" borderId="1" xfId="6" applyNumberFormat="1" applyFont="1" applyFill="1" applyBorder="1"/>
    <xf numFmtId="168" fontId="9" fillId="2" borderId="2" xfId="6" applyNumberFormat="1" applyFont="1" applyFill="1" applyBorder="1"/>
    <xf numFmtId="0" fontId="9" fillId="3" borderId="10" xfId="0" applyFont="1" applyFill="1" applyBorder="1"/>
    <xf numFmtId="168" fontId="9" fillId="3" borderId="1" xfId="6" applyNumberFormat="1" applyFont="1" applyFill="1" applyBorder="1"/>
    <xf numFmtId="168" fontId="9" fillId="3" borderId="2" xfId="6" applyNumberFormat="1" applyFont="1" applyFill="1" applyBorder="1"/>
    <xf numFmtId="0" fontId="9" fillId="3" borderId="5" xfId="0" applyFont="1" applyFill="1" applyBorder="1"/>
    <xf numFmtId="168" fontId="9" fillId="3" borderId="6" xfId="6" applyNumberFormat="1" applyFont="1" applyFill="1" applyBorder="1"/>
    <xf numFmtId="168" fontId="9" fillId="3" borderId="7" xfId="6" applyNumberFormat="1" applyFont="1" applyFill="1" applyBorder="1"/>
    <xf numFmtId="168" fontId="9" fillId="0" borderId="8" xfId="6" applyNumberFormat="1" applyFont="1" applyBorder="1"/>
    <xf numFmtId="168" fontId="9" fillId="0" borderId="9" xfId="6" applyNumberFormat="1" applyFont="1" applyBorder="1"/>
    <xf numFmtId="10" fontId="9" fillId="0" borderId="8" xfId="0" applyNumberFormat="1" applyFont="1" applyBorder="1" applyAlignment="1">
      <alignment vertical="center"/>
    </xf>
    <xf numFmtId="10" fontId="9" fillId="0" borderId="9" xfId="0" applyNumberFormat="1" applyFont="1" applyBorder="1" applyAlignment="1">
      <alignment vertical="center"/>
    </xf>
    <xf numFmtId="168" fontId="9" fillId="2" borderId="1" xfId="6" applyNumberFormat="1" applyFont="1" applyFill="1" applyBorder="1" applyAlignment="1">
      <alignment horizontal="center"/>
    </xf>
    <xf numFmtId="168" fontId="9" fillId="3" borderId="1" xfId="6" applyNumberFormat="1" applyFont="1" applyFill="1" applyBorder="1" applyAlignment="1">
      <alignment horizontal="center"/>
    </xf>
    <xf numFmtId="168" fontId="9" fillId="2" borderId="2" xfId="6" applyNumberFormat="1" applyFont="1" applyFill="1" applyBorder="1" applyAlignment="1">
      <alignment horizontal="center"/>
    </xf>
    <xf numFmtId="168" fontId="9" fillId="3" borderId="7" xfId="6" applyNumberFormat="1" applyFont="1" applyFill="1" applyBorder="1" applyAlignment="1">
      <alignment horizontal="center"/>
    </xf>
    <xf numFmtId="0" fontId="9" fillId="0" borderId="0" xfId="0" applyFont="1" applyFill="1" applyBorder="1"/>
    <xf numFmtId="10" fontId="9" fillId="0" borderId="0" xfId="0" applyNumberFormat="1" applyFont="1" applyFill="1" applyBorder="1" applyAlignment="1">
      <alignment horizontal="center" vertical="center"/>
    </xf>
    <xf numFmtId="168" fontId="9" fillId="0" borderId="0" xfId="6" applyNumberFormat="1" applyFont="1" applyFill="1" applyBorder="1"/>
    <xf numFmtId="168" fontId="9" fillId="2" borderId="1" xfId="6" quotePrefix="1" applyNumberFormat="1" applyFont="1" applyFill="1" applyBorder="1"/>
    <xf numFmtId="168" fontId="9" fillId="3" borderId="1" xfId="6" quotePrefix="1" applyNumberFormat="1" applyFont="1" applyFill="1" applyBorder="1"/>
    <xf numFmtId="0" fontId="9" fillId="2" borderId="10" xfId="0" applyFont="1" applyFill="1" applyBorder="1" applyAlignment="1">
      <alignment vertical="center" wrapText="1"/>
    </xf>
    <xf numFmtId="0" fontId="9" fillId="3" borderId="10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vertical="center" wrapText="1"/>
    </xf>
    <xf numFmtId="168" fontId="9" fillId="3" borderId="6" xfId="6" quotePrefix="1" applyNumberFormat="1" applyFont="1" applyFill="1" applyBorder="1"/>
    <xf numFmtId="10" fontId="9" fillId="2" borderId="1" xfId="0" applyNumberFormat="1" applyFont="1" applyFill="1" applyBorder="1" applyAlignment="1">
      <alignment horizontal="center" vertical="center"/>
    </xf>
    <xf numFmtId="168" fontId="9" fillId="3" borderId="2" xfId="6" applyNumberFormat="1" applyFont="1" applyFill="1" applyBorder="1" applyAlignment="1">
      <alignment vertical="center"/>
    </xf>
    <xf numFmtId="168" fontId="9" fillId="3" borderId="7" xfId="6" applyNumberFormat="1" applyFont="1" applyFill="1" applyBorder="1" applyAlignment="1">
      <alignment vertical="center"/>
    </xf>
    <xf numFmtId="10" fontId="6" fillId="0" borderId="0" xfId="15" applyNumberFormat="1" applyFont="1"/>
    <xf numFmtId="0" fontId="9" fillId="0" borderId="11" xfId="0" applyFont="1" applyBorder="1"/>
    <xf numFmtId="10" fontId="9" fillId="0" borderId="12" xfId="0" applyNumberFormat="1" applyFont="1" applyBorder="1" applyAlignment="1">
      <alignment vertical="center"/>
    </xf>
    <xf numFmtId="10" fontId="9" fillId="0" borderId="11" xfId="0" applyNumberFormat="1" applyFont="1" applyBorder="1" applyAlignment="1">
      <alignment vertical="center"/>
    </xf>
    <xf numFmtId="165" fontId="9" fillId="0" borderId="12" xfId="2" applyNumberFormat="1" applyFont="1" applyBorder="1"/>
    <xf numFmtId="165" fontId="9" fillId="0" borderId="13" xfId="2" applyNumberFormat="1" applyFont="1" applyBorder="1"/>
    <xf numFmtId="168" fontId="9" fillId="3" borderId="14" xfId="6" quotePrefix="1" applyNumberFormat="1" applyFont="1" applyFill="1" applyBorder="1"/>
    <xf numFmtId="0" fontId="1" fillId="0" borderId="0" xfId="0" applyFont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169" fontId="2" fillId="0" borderId="17" xfId="0" applyNumberFormat="1" applyFont="1" applyFill="1" applyBorder="1" applyAlignment="1">
      <alignment horizontal="center"/>
    </xf>
    <xf numFmtId="169" fontId="2" fillId="0" borderId="18" xfId="0" applyNumberFormat="1" applyFont="1" applyBorder="1" applyAlignment="1">
      <alignment horizontal="center"/>
    </xf>
    <xf numFmtId="169" fontId="2" fillId="0" borderId="18" xfId="0" applyNumberFormat="1" applyFont="1" applyFill="1" applyBorder="1" applyAlignment="1">
      <alignment horizontal="center"/>
    </xf>
    <xf numFmtId="169" fontId="2" fillId="0" borderId="19" xfId="0" applyNumberFormat="1" applyFont="1" applyFill="1" applyBorder="1" applyAlignment="1">
      <alignment horizontal="center"/>
    </xf>
    <xf numFmtId="169" fontId="2" fillId="0" borderId="0" xfId="0" applyNumberFormat="1" applyFont="1" applyBorder="1" applyAlignment="1">
      <alignment horizontal="center"/>
    </xf>
    <xf numFmtId="169" fontId="2" fillId="0" borderId="0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169" fontId="2" fillId="0" borderId="21" xfId="0" applyNumberFormat="1" applyFont="1" applyBorder="1" applyAlignment="1">
      <alignment horizontal="center"/>
    </xf>
    <xf numFmtId="169" fontId="2" fillId="0" borderId="19" xfId="0" quotePrefix="1" applyNumberFormat="1" applyFont="1" applyFill="1" applyBorder="1" applyAlignment="1">
      <alignment horizontal="center"/>
    </xf>
    <xf numFmtId="169" fontId="2" fillId="0" borderId="0" xfId="0" quotePrefix="1" applyNumberFormat="1" applyFont="1" applyFill="1" applyBorder="1" applyAlignment="1">
      <alignment horizontal="center"/>
    </xf>
    <xf numFmtId="169" fontId="2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71" fontId="2" fillId="0" borderId="19" xfId="0" applyNumberFormat="1" applyFont="1" applyFill="1" applyBorder="1" applyAlignment="1">
      <alignment horizontal="left"/>
    </xf>
    <xf numFmtId="171" fontId="2" fillId="0" borderId="0" xfId="0" applyNumberFormat="1" applyFont="1" applyFill="1" applyBorder="1" applyAlignment="1">
      <alignment horizontal="left"/>
    </xf>
    <xf numFmtId="171" fontId="2" fillId="0" borderId="21" xfId="0" applyNumberFormat="1" applyFont="1" applyFill="1" applyBorder="1" applyAlignment="1">
      <alignment horizontal="left"/>
    </xf>
    <xf numFmtId="171" fontId="2" fillId="0" borderId="20" xfId="0" applyNumberFormat="1" applyFont="1" applyFill="1" applyBorder="1" applyAlignment="1">
      <alignment horizontal="left"/>
    </xf>
    <xf numFmtId="171" fontId="1" fillId="0" borderId="19" xfId="0" applyNumberFormat="1" applyFont="1" applyFill="1" applyBorder="1"/>
    <xf numFmtId="171" fontId="1" fillId="0" borderId="0" xfId="0" applyNumberFormat="1" applyFont="1" applyFill="1" applyBorder="1"/>
    <xf numFmtId="171" fontId="1" fillId="0" borderId="21" xfId="0" applyNumberFormat="1" applyFont="1" applyFill="1" applyBorder="1"/>
    <xf numFmtId="171" fontId="2" fillId="0" borderId="0" xfId="0" applyNumberFormat="1" applyFont="1" applyFill="1" applyBorder="1"/>
    <xf numFmtId="171" fontId="1" fillId="0" borderId="20" xfId="0" applyNumberFormat="1" applyFont="1" applyFill="1" applyBorder="1"/>
    <xf numFmtId="170" fontId="2" fillId="0" borderId="22" xfId="0" applyNumberFormat="1" applyFont="1" applyBorder="1"/>
    <xf numFmtId="170" fontId="2" fillId="0" borderId="0" xfId="0" applyNumberFormat="1" applyFont="1" applyBorder="1"/>
    <xf numFmtId="171" fontId="2" fillId="0" borderId="23" xfId="0" applyNumberFormat="1" applyFont="1" applyFill="1" applyBorder="1"/>
    <xf numFmtId="171" fontId="2" fillId="0" borderId="22" xfId="0" applyNumberFormat="1" applyFont="1" applyFill="1" applyBorder="1"/>
    <xf numFmtId="171" fontId="2" fillId="0" borderId="24" xfId="0" applyNumberFormat="1" applyFont="1" applyFill="1" applyBorder="1"/>
    <xf numFmtId="171" fontId="2" fillId="0" borderId="25" xfId="0" applyNumberFormat="1" applyFont="1" applyFill="1" applyBorder="1"/>
    <xf numFmtId="0" fontId="2" fillId="0" borderId="0" xfId="0" applyFont="1"/>
    <xf numFmtId="0" fontId="2" fillId="0" borderId="0" xfId="0" applyFont="1" applyBorder="1"/>
    <xf numFmtId="171" fontId="2" fillId="0" borderId="19" xfId="0" applyNumberFormat="1" applyFont="1" applyFill="1" applyBorder="1"/>
    <xf numFmtId="171" fontId="2" fillId="0" borderId="21" xfId="0" applyNumberFormat="1" applyFont="1" applyFill="1" applyBorder="1"/>
    <xf numFmtId="171" fontId="2" fillId="0" borderId="20" xfId="0" applyNumberFormat="1" applyFont="1" applyFill="1" applyBorder="1"/>
    <xf numFmtId="170" fontId="2" fillId="0" borderId="26" xfId="0" applyNumberFormat="1" applyFont="1" applyBorder="1"/>
    <xf numFmtId="171" fontId="2" fillId="0" borderId="27" xfId="0" applyNumberFormat="1" applyFont="1" applyFill="1" applyBorder="1"/>
    <xf numFmtId="171" fontId="2" fillId="0" borderId="26" xfId="0" applyNumberFormat="1" applyFont="1" applyFill="1" applyBorder="1"/>
    <xf numFmtId="171" fontId="2" fillId="0" borderId="28" xfId="0" applyNumberFormat="1" applyFont="1" applyFill="1" applyBorder="1"/>
    <xf numFmtId="171" fontId="2" fillId="0" borderId="29" xfId="0" applyNumberFormat="1" applyFont="1" applyFill="1" applyBorder="1"/>
    <xf numFmtId="169" fontId="6" fillId="0" borderId="0" xfId="0" applyNumberFormat="1" applyFont="1" applyFill="1"/>
    <xf numFmtId="169" fontId="6" fillId="0" borderId="0" xfId="0" applyNumberFormat="1" applyFont="1"/>
    <xf numFmtId="171" fontId="6" fillId="0" borderId="0" xfId="0" applyNumberFormat="1" applyFont="1"/>
    <xf numFmtId="170" fontId="6" fillId="0" borderId="0" xfId="0" applyNumberFormat="1" applyFont="1"/>
    <xf numFmtId="171" fontId="6" fillId="0" borderId="0" xfId="0" applyNumberFormat="1" applyFont="1" applyFill="1"/>
    <xf numFmtId="169" fontId="2" fillId="0" borderId="17" xfId="0" quotePrefix="1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left"/>
    </xf>
    <xf numFmtId="172" fontId="1" fillId="0" borderId="0" xfId="0" applyNumberFormat="1" applyFont="1" applyFill="1" applyBorder="1"/>
    <xf numFmtId="172" fontId="2" fillId="0" borderId="22" xfId="0" applyNumberFormat="1" applyFont="1" applyFill="1" applyBorder="1"/>
    <xf numFmtId="172" fontId="2" fillId="0" borderId="0" xfId="0" applyNumberFormat="1" applyFont="1" applyFill="1" applyBorder="1"/>
    <xf numFmtId="172" fontId="2" fillId="0" borderId="26" xfId="0" applyNumberFormat="1" applyFont="1" applyFill="1" applyBorder="1"/>
    <xf numFmtId="173" fontId="2" fillId="0" borderId="22" xfId="0" applyNumberFormat="1" applyFont="1" applyFill="1" applyBorder="1"/>
    <xf numFmtId="169" fontId="2" fillId="0" borderId="18" xfId="0" quotePrefix="1" applyNumberFormat="1" applyFont="1" applyFill="1" applyBorder="1" applyAlignment="1">
      <alignment horizontal="center"/>
    </xf>
    <xf numFmtId="169" fontId="2" fillId="0" borderId="30" xfId="0" applyNumberFormat="1" applyFont="1" applyBorder="1" applyAlignment="1">
      <alignment horizontal="center"/>
    </xf>
    <xf numFmtId="169" fontId="2" fillId="0" borderId="31" xfId="0" quotePrefix="1" applyNumberFormat="1" applyFont="1" applyBorder="1" applyAlignment="1">
      <alignment horizontal="center"/>
    </xf>
    <xf numFmtId="169" fontId="2" fillId="0" borderId="21" xfId="0" quotePrefix="1" applyNumberFormat="1" applyFont="1" applyBorder="1" applyAlignment="1">
      <alignment horizontal="center"/>
    </xf>
    <xf numFmtId="171" fontId="2" fillId="0" borderId="0" xfId="0" applyNumberFormat="1" applyFont="1"/>
    <xf numFmtId="169" fontId="2" fillId="0" borderId="30" xfId="0" applyNumberFormat="1" applyFont="1" applyFill="1" applyBorder="1" applyAlignment="1">
      <alignment horizontal="center"/>
    </xf>
    <xf numFmtId="169" fontId="2" fillId="0" borderId="31" xfId="0" applyNumberFormat="1" applyFont="1" applyFill="1" applyBorder="1" applyAlignment="1">
      <alignment horizontal="center"/>
    </xf>
    <xf numFmtId="169" fontId="2" fillId="0" borderId="31" xfId="0" quotePrefix="1" applyNumberFormat="1" applyFont="1" applyFill="1" applyBorder="1" applyAlignment="1">
      <alignment horizontal="center"/>
    </xf>
    <xf numFmtId="171" fontId="2" fillId="0" borderId="31" xfId="0" applyNumberFormat="1" applyFont="1" applyFill="1" applyBorder="1" applyAlignment="1">
      <alignment horizontal="left"/>
    </xf>
    <xf numFmtId="171" fontId="1" fillId="0" borderId="31" xfId="0" applyNumberFormat="1" applyFont="1" applyFill="1" applyBorder="1"/>
    <xf numFmtId="171" fontId="2" fillId="0" borderId="32" xfId="0" applyNumberFormat="1" applyFont="1" applyFill="1" applyBorder="1"/>
    <xf numFmtId="171" fontId="2" fillId="0" borderId="31" xfId="0" applyNumberFormat="1" applyFont="1" applyFill="1" applyBorder="1"/>
    <xf numFmtId="171" fontId="2" fillId="0" borderId="33" xfId="0" applyNumberFormat="1" applyFont="1" applyFill="1" applyBorder="1"/>
    <xf numFmtId="169" fontId="2" fillId="0" borderId="34" xfId="0" applyNumberFormat="1" applyFont="1" applyFill="1" applyBorder="1" applyAlignment="1">
      <alignment horizontal="center"/>
    </xf>
    <xf numFmtId="169" fontId="2" fillId="0" borderId="3" xfId="0" applyNumberFormat="1" applyFont="1" applyBorder="1" applyAlignment="1">
      <alignment horizontal="center"/>
    </xf>
    <xf numFmtId="172" fontId="2" fillId="0" borderId="3" xfId="0" applyNumberFormat="1" applyFont="1" applyFill="1" applyBorder="1" applyAlignment="1">
      <alignment horizontal="left"/>
    </xf>
    <xf numFmtId="172" fontId="1" fillId="0" borderId="3" xfId="0" applyNumberFormat="1" applyFont="1" applyFill="1" applyBorder="1"/>
    <xf numFmtId="171" fontId="2" fillId="0" borderId="35" xfId="0" applyNumberFormat="1" applyFont="1" applyFill="1" applyBorder="1"/>
    <xf numFmtId="171" fontId="2" fillId="0" borderId="3" xfId="0" applyNumberFormat="1" applyFont="1" applyFill="1" applyBorder="1"/>
    <xf numFmtId="171" fontId="2" fillId="0" borderId="36" xfId="0" applyNumberFormat="1" applyFont="1" applyFill="1" applyBorder="1"/>
    <xf numFmtId="169" fontId="2" fillId="0" borderId="31" xfId="0" applyNumberFormat="1" applyFont="1" applyBorder="1" applyAlignment="1">
      <alignment horizontal="center"/>
    </xf>
    <xf numFmtId="172" fontId="2" fillId="0" borderId="31" xfId="0" applyNumberFormat="1" applyFont="1" applyFill="1" applyBorder="1" applyAlignment="1">
      <alignment horizontal="left"/>
    </xf>
    <xf numFmtId="172" fontId="1" fillId="0" borderId="31" xfId="0" applyNumberFormat="1" applyFont="1" applyFill="1" applyBorder="1"/>
    <xf numFmtId="169" fontId="2" fillId="0" borderId="13" xfId="0" applyNumberFormat="1" applyFont="1" applyFill="1" applyBorder="1" applyAlignment="1">
      <alignment horizontal="center"/>
    </xf>
    <xf numFmtId="169" fontId="2" fillId="0" borderId="3" xfId="0" applyNumberFormat="1" applyFont="1" applyFill="1" applyBorder="1" applyAlignment="1">
      <alignment horizontal="center"/>
    </xf>
    <xf numFmtId="169" fontId="2" fillId="0" borderId="3" xfId="0" quotePrefix="1" applyNumberFormat="1" applyFont="1" applyFill="1" applyBorder="1" applyAlignment="1">
      <alignment horizontal="center"/>
    </xf>
    <xf numFmtId="171" fontId="2" fillId="0" borderId="3" xfId="0" applyNumberFormat="1" applyFont="1" applyFill="1" applyBorder="1" applyAlignment="1">
      <alignment horizontal="left"/>
    </xf>
    <xf numFmtId="171" fontId="1" fillId="0" borderId="3" xfId="0" applyNumberFormat="1" applyFont="1" applyFill="1" applyBorder="1"/>
    <xf numFmtId="43" fontId="6" fillId="0" borderId="0" xfId="2" applyFont="1" applyFill="1"/>
    <xf numFmtId="174" fontId="1" fillId="0" borderId="0" xfId="0" applyNumberFormat="1" applyFont="1" applyFill="1" applyBorder="1"/>
    <xf numFmtId="174" fontId="1" fillId="0" borderId="31" xfId="0" applyNumberFormat="1" applyFont="1" applyFill="1" applyBorder="1"/>
    <xf numFmtId="174" fontId="1" fillId="0" borderId="3" xfId="0" applyNumberFormat="1" applyFont="1" applyFill="1" applyBorder="1"/>
    <xf numFmtId="174" fontId="2" fillId="0" borderId="22" xfId="0" applyNumberFormat="1" applyFont="1" applyFill="1" applyBorder="1"/>
    <xf numFmtId="174" fontId="2" fillId="0" borderId="32" xfId="0" applyNumberFormat="1" applyFont="1" applyFill="1" applyBorder="1"/>
    <xf numFmtId="174" fontId="2" fillId="0" borderId="35" xfId="0" applyNumberFormat="1" applyFont="1" applyFill="1" applyBorder="1"/>
    <xf numFmtId="174" fontId="2" fillId="0" borderId="26" xfId="0" applyNumberFormat="1" applyFont="1" applyFill="1" applyBorder="1"/>
    <xf numFmtId="174" fontId="2" fillId="0" borderId="33" xfId="0" applyNumberFormat="1" applyFont="1" applyFill="1" applyBorder="1"/>
    <xf numFmtId="174" fontId="2" fillId="0" borderId="36" xfId="0" applyNumberFormat="1" applyFont="1" applyFill="1" applyBorder="1"/>
    <xf numFmtId="169" fontId="2" fillId="0" borderId="37" xfId="0" applyNumberFormat="1" applyFont="1" applyFill="1" applyBorder="1" applyAlignment="1">
      <alignment horizontal="center"/>
    </xf>
    <xf numFmtId="169" fontId="2" fillId="0" borderId="21" xfId="0" quotePrefix="1" applyNumberFormat="1" applyFont="1" applyFill="1" applyBorder="1" applyAlignment="1">
      <alignment horizontal="center"/>
    </xf>
    <xf numFmtId="169" fontId="2" fillId="0" borderId="21" xfId="0" applyNumberFormat="1" applyFont="1" applyFill="1" applyBorder="1" applyAlignment="1">
      <alignment horizontal="center"/>
    </xf>
    <xf numFmtId="171" fontId="1" fillId="0" borderId="21" xfId="0" applyNumberFormat="1" applyFont="1" applyFill="1" applyBorder="1" applyAlignment="1">
      <alignment horizontal="center"/>
    </xf>
    <xf numFmtId="171" fontId="2" fillId="4" borderId="35" xfId="0" applyNumberFormat="1" applyFont="1" applyFill="1" applyBorder="1"/>
    <xf numFmtId="171" fontId="2" fillId="4" borderId="24" xfId="0" applyNumberFormat="1" applyFont="1" applyFill="1" applyBorder="1"/>
    <xf numFmtId="171" fontId="2" fillId="4" borderId="36" xfId="0" applyNumberFormat="1" applyFont="1" applyFill="1" applyBorder="1"/>
    <xf numFmtId="171" fontId="2" fillId="4" borderId="28" xfId="0" applyNumberFormat="1" applyFont="1" applyFill="1" applyBorder="1"/>
    <xf numFmtId="171" fontId="1" fillId="4" borderId="19" xfId="0" applyNumberFormat="1" applyFont="1" applyFill="1" applyBorder="1"/>
    <xf numFmtId="171" fontId="1" fillId="4" borderId="0" xfId="0" applyNumberFormat="1" applyFont="1" applyFill="1" applyBorder="1"/>
    <xf numFmtId="171" fontId="1" fillId="4" borderId="31" xfId="0" applyNumberFormat="1" applyFont="1" applyFill="1" applyBorder="1"/>
    <xf numFmtId="175" fontId="1" fillId="0" borderId="3" xfId="0" applyNumberFormat="1" applyFont="1" applyFill="1" applyBorder="1"/>
    <xf numFmtId="172" fontId="1" fillId="4" borderId="0" xfId="0" applyNumberFormat="1" applyFont="1" applyFill="1" applyBorder="1"/>
    <xf numFmtId="173" fontId="1" fillId="0" borderId="0" xfId="0" applyNumberFormat="1" applyFont="1" applyFill="1" applyBorder="1"/>
    <xf numFmtId="175" fontId="1" fillId="0" borderId="0" xfId="0" applyNumberFormat="1" applyFont="1" applyFill="1" applyBorder="1"/>
    <xf numFmtId="171" fontId="1" fillId="4" borderId="3" xfId="0" applyNumberFormat="1" applyFont="1" applyFill="1" applyBorder="1"/>
    <xf numFmtId="175" fontId="2" fillId="0" borderId="26" xfId="0" applyNumberFormat="1" applyFont="1" applyFill="1" applyBorder="1"/>
    <xf numFmtId="169" fontId="2" fillId="0" borderId="13" xfId="0" quotePrefix="1" applyNumberFormat="1" applyFont="1" applyFill="1" applyBorder="1" applyAlignment="1">
      <alignment horizontal="center"/>
    </xf>
    <xf numFmtId="171" fontId="1" fillId="4" borderId="3" xfId="0" applyNumberFormat="1" applyFont="1" applyFill="1" applyBorder="1" applyAlignment="1">
      <alignment horizontal="center"/>
    </xf>
    <xf numFmtId="177" fontId="1" fillId="4" borderId="3" xfId="0" applyNumberFormat="1" applyFont="1" applyFill="1" applyBorder="1"/>
    <xf numFmtId="177" fontId="1" fillId="0" borderId="3" xfId="0" applyNumberFormat="1" applyFont="1" applyFill="1" applyBorder="1"/>
    <xf numFmtId="169" fontId="2" fillId="0" borderId="18" xfId="0" quotePrefix="1" applyNumberFormat="1" applyFont="1" applyBorder="1" applyAlignment="1">
      <alignment horizontal="center"/>
    </xf>
    <xf numFmtId="178" fontId="1" fillId="0" borderId="0" xfId="15" applyNumberFormat="1" applyFont="1" applyFill="1" applyBorder="1"/>
    <xf numFmtId="178" fontId="2" fillId="0" borderId="22" xfId="15" applyNumberFormat="1" applyFont="1" applyFill="1" applyBorder="1"/>
    <xf numFmtId="175" fontId="1" fillId="0" borderId="0" xfId="0" quotePrefix="1" applyNumberFormat="1" applyFont="1" applyFill="1" applyBorder="1"/>
    <xf numFmtId="178" fontId="2" fillId="0" borderId="26" xfId="15" applyNumberFormat="1" applyFont="1" applyFill="1" applyBorder="1"/>
    <xf numFmtId="175" fontId="2" fillId="0" borderId="32" xfId="0" applyNumberFormat="1" applyFont="1" applyFill="1" applyBorder="1"/>
    <xf numFmtId="175" fontId="2" fillId="0" borderId="22" xfId="0" applyNumberFormat="1" applyFont="1" applyFill="1" applyBorder="1"/>
    <xf numFmtId="171" fontId="1" fillId="0" borderId="19" xfId="0" quotePrefix="1" applyNumberFormat="1" applyFont="1" applyFill="1" applyBorder="1"/>
    <xf numFmtId="169" fontId="2" fillId="0" borderId="20" xfId="0" applyNumberFormat="1" applyFont="1" applyBorder="1" applyAlignment="1">
      <alignment horizontal="center"/>
    </xf>
    <xf numFmtId="169" fontId="2" fillId="0" borderId="17" xfId="0" quotePrefix="1" applyNumberFormat="1" applyFont="1" applyBorder="1" applyAlignment="1">
      <alignment horizontal="center"/>
    </xf>
    <xf numFmtId="169" fontId="2" fillId="0" borderId="19" xfId="0" applyNumberFormat="1" applyFont="1" applyBorder="1" applyAlignment="1">
      <alignment horizontal="center"/>
    </xf>
    <xf numFmtId="172" fontId="2" fillId="0" borderId="19" xfId="0" applyNumberFormat="1" applyFont="1" applyFill="1" applyBorder="1" applyAlignment="1">
      <alignment horizontal="left"/>
    </xf>
    <xf numFmtId="175" fontId="1" fillId="0" borderId="19" xfId="0" applyNumberFormat="1" applyFont="1" applyFill="1" applyBorder="1"/>
    <xf numFmtId="178" fontId="6" fillId="0" borderId="0" xfId="0" quotePrefix="1" applyNumberFormat="1" applyFont="1" applyFill="1" applyBorder="1"/>
    <xf numFmtId="172" fontId="1" fillId="0" borderId="19" xfId="0" applyNumberFormat="1" applyFont="1" applyFill="1" applyBorder="1"/>
    <xf numFmtId="169" fontId="6" fillId="0" borderId="0" xfId="0" quotePrefix="1" applyNumberFormat="1" applyFont="1" applyFill="1"/>
    <xf numFmtId="169" fontId="6" fillId="0" borderId="19" xfId="0" applyNumberFormat="1" applyFont="1" applyBorder="1"/>
    <xf numFmtId="165" fontId="7" fillId="0" borderId="1" xfId="2" quotePrefix="1" applyNumberFormat="1" applyFont="1" applyBorder="1" applyAlignment="1">
      <alignment horizontal="center"/>
    </xf>
    <xf numFmtId="165" fontId="7" fillId="0" borderId="2" xfId="2" quotePrefix="1" applyNumberFormat="1" applyFont="1" applyBorder="1" applyAlignment="1">
      <alignment horizontal="center"/>
    </xf>
    <xf numFmtId="165" fontId="7" fillId="0" borderId="3" xfId="2" quotePrefix="1" applyNumberFormat="1" applyFont="1" applyBorder="1" applyAlignment="1">
      <alignment horizontal="center"/>
    </xf>
    <xf numFmtId="164" fontId="7" fillId="0" borderId="2" xfId="15" quotePrefix="1" applyNumberFormat="1" applyFont="1" applyBorder="1" applyAlignment="1">
      <alignment horizontal="center"/>
    </xf>
    <xf numFmtId="165" fontId="7" fillId="0" borderId="12" xfId="2" quotePrefix="1" applyNumberFormat="1" applyFont="1" applyBorder="1" applyAlignment="1">
      <alignment horizontal="center"/>
    </xf>
    <xf numFmtId="165" fontId="7" fillId="0" borderId="11" xfId="2" quotePrefix="1" applyNumberFormat="1" applyFont="1" applyBorder="1" applyAlignment="1">
      <alignment horizontal="center"/>
    </xf>
    <xf numFmtId="165" fontId="7" fillId="0" borderId="13" xfId="2" quotePrefix="1" applyNumberFormat="1" applyFont="1" applyBorder="1" applyAlignment="1">
      <alignment horizontal="center"/>
    </xf>
    <xf numFmtId="164" fontId="7" fillId="0" borderId="11" xfId="15" quotePrefix="1" applyNumberFormat="1" applyFont="1" applyBorder="1" applyAlignment="1">
      <alignment horizontal="center"/>
    </xf>
    <xf numFmtId="0" fontId="1" fillId="0" borderId="43" xfId="0" applyFont="1" applyBorder="1"/>
    <xf numFmtId="0" fontId="1" fillId="0" borderId="19" xfId="0" applyFont="1" applyBorder="1"/>
    <xf numFmtId="0" fontId="2" fillId="0" borderId="19" xfId="0" applyFont="1" applyBorder="1" applyAlignment="1">
      <alignment horizontal="center"/>
    </xf>
    <xf numFmtId="0" fontId="6" fillId="0" borderId="19" xfId="0" applyFont="1" applyBorder="1"/>
    <xf numFmtId="0" fontId="6" fillId="0" borderId="0" xfId="0" applyFont="1" applyBorder="1"/>
    <xf numFmtId="0" fontId="6" fillId="0" borderId="20" xfId="0" applyFont="1" applyBorder="1"/>
    <xf numFmtId="0" fontId="2" fillId="0" borderId="20" xfId="0" applyFont="1" applyBorder="1" applyAlignment="1">
      <alignment horizontal="left"/>
    </xf>
    <xf numFmtId="0" fontId="1" fillId="0" borderId="20" xfId="0" applyFont="1" applyBorder="1"/>
    <xf numFmtId="170" fontId="2" fillId="0" borderId="23" xfId="0" applyNumberFormat="1" applyFont="1" applyBorder="1"/>
    <xf numFmtId="170" fontId="2" fillId="0" borderId="25" xfId="0" applyNumberFormat="1" applyFont="1" applyBorder="1"/>
    <xf numFmtId="0" fontId="2" fillId="0" borderId="20" xfId="0" applyFont="1" applyBorder="1"/>
    <xf numFmtId="0" fontId="2" fillId="0" borderId="19" xfId="0" applyFont="1" applyBorder="1"/>
    <xf numFmtId="170" fontId="2" fillId="0" borderId="27" xfId="0" applyNumberFormat="1" applyFont="1" applyBorder="1"/>
    <xf numFmtId="170" fontId="2" fillId="0" borderId="29" xfId="0" applyNumberFormat="1" applyFont="1" applyBorder="1"/>
    <xf numFmtId="171" fontId="2" fillId="0" borderId="0" xfId="0" applyNumberFormat="1" applyFont="1" applyBorder="1"/>
    <xf numFmtId="169" fontId="6" fillId="0" borderId="0" xfId="0" applyNumberFormat="1" applyFont="1" applyBorder="1"/>
    <xf numFmtId="165" fontId="7" fillId="0" borderId="59" xfId="2" applyNumberFormat="1" applyFont="1" applyBorder="1"/>
    <xf numFmtId="165" fontId="7" fillId="0" borderId="60" xfId="2" applyNumberFormat="1" applyFont="1" applyBorder="1"/>
    <xf numFmtId="166" fontId="7" fillId="0" borderId="59" xfId="2" applyNumberFormat="1" applyFont="1" applyBorder="1"/>
    <xf numFmtId="166" fontId="7" fillId="0" borderId="35" xfId="2" applyNumberFormat="1" applyFont="1" applyBorder="1"/>
    <xf numFmtId="167" fontId="7" fillId="0" borderId="60" xfId="15" applyNumberFormat="1" applyFont="1" applyBorder="1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/>
    <xf numFmtId="0" fontId="6" fillId="0" borderId="16" xfId="0" applyFont="1" applyBorder="1"/>
    <xf numFmtId="0" fontId="7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2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16" xfId="0" applyFont="1" applyBorder="1" applyAlignment="1"/>
    <xf numFmtId="0" fontId="6" fillId="0" borderId="26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165" fontId="7" fillId="0" borderId="62" xfId="2" quotePrefix="1" applyNumberFormat="1" applyFont="1" applyBorder="1" applyAlignment="1">
      <alignment horizontal="center"/>
    </xf>
    <xf numFmtId="165" fontId="7" fillId="0" borderId="64" xfId="2" applyNumberFormat="1" applyFont="1" applyBorder="1" applyAlignment="1">
      <alignment horizontal="center"/>
    </xf>
    <xf numFmtId="164" fontId="7" fillId="0" borderId="37" xfId="15" quotePrefix="1" applyNumberFormat="1" applyFont="1" applyBorder="1" applyAlignment="1">
      <alignment horizontal="center"/>
    </xf>
    <xf numFmtId="164" fontId="7" fillId="0" borderId="21" xfId="15" quotePrefix="1" applyNumberFormat="1" applyFont="1" applyBorder="1" applyAlignment="1">
      <alignment horizontal="center"/>
    </xf>
    <xf numFmtId="165" fontId="6" fillId="0" borderId="64" xfId="2" applyNumberFormat="1" applyFont="1" applyBorder="1"/>
    <xf numFmtId="167" fontId="6" fillId="0" borderId="21" xfId="15" applyNumberFormat="1" applyFont="1" applyBorder="1"/>
    <xf numFmtId="165" fontId="7" fillId="0" borderId="66" xfId="2" applyNumberFormat="1" applyFont="1" applyBorder="1"/>
    <xf numFmtId="167" fontId="7" fillId="0" borderId="24" xfId="15" applyNumberFormat="1" applyFont="1" applyBorder="1"/>
    <xf numFmtId="165" fontId="6" fillId="0" borderId="13" xfId="2" applyNumberFormat="1" applyFont="1" applyBorder="1"/>
    <xf numFmtId="164" fontId="6" fillId="0" borderId="37" xfId="15" applyNumberFormat="1" applyFont="1" applyBorder="1"/>
    <xf numFmtId="165" fontId="6" fillId="0" borderId="3" xfId="2" applyNumberFormat="1" applyFont="1" applyBorder="1"/>
    <xf numFmtId="164" fontId="6" fillId="0" borderId="21" xfId="15" applyNumberFormat="1" applyFont="1" applyBorder="1"/>
    <xf numFmtId="165" fontId="6" fillId="0" borderId="70" xfId="2" applyNumberFormat="1" applyFont="1" applyBorder="1"/>
    <xf numFmtId="165" fontId="6" fillId="0" borderId="12" xfId="2" applyNumberFormat="1" applyFont="1" applyBorder="1"/>
    <xf numFmtId="165" fontId="6" fillId="0" borderId="11" xfId="2" applyNumberFormat="1" applyFont="1" applyBorder="1"/>
    <xf numFmtId="164" fontId="6" fillId="0" borderId="11" xfId="15" applyNumberFormat="1" applyFont="1" applyBorder="1"/>
    <xf numFmtId="164" fontId="6" fillId="0" borderId="2" xfId="15" applyNumberFormat="1" applyFont="1" applyBorder="1"/>
    <xf numFmtId="165" fontId="7" fillId="0" borderId="71" xfId="2" applyNumberFormat="1" applyFont="1" applyBorder="1"/>
    <xf numFmtId="165" fontId="7" fillId="0" borderId="72" xfId="2" applyNumberFormat="1" applyFont="1" applyBorder="1"/>
    <xf numFmtId="165" fontId="7" fillId="0" borderId="73" xfId="2" applyNumberFormat="1" applyFont="1" applyBorder="1"/>
    <xf numFmtId="166" fontId="7" fillId="0" borderId="72" xfId="2" applyNumberFormat="1" applyFont="1" applyBorder="1"/>
    <xf numFmtId="166" fontId="7" fillId="0" borderId="36" xfId="2" applyNumberFormat="1" applyFont="1" applyBorder="1"/>
    <xf numFmtId="167" fontId="7" fillId="0" borderId="73" xfId="15" applyNumberFormat="1" applyFont="1" applyBorder="1"/>
    <xf numFmtId="167" fontId="7" fillId="0" borderId="28" xfId="15" applyNumberFormat="1" applyFont="1" applyBorder="1"/>
    <xf numFmtId="0" fontId="6" fillId="0" borderId="20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169" fontId="2" fillId="0" borderId="0" xfId="0" applyNumberFormat="1" applyFont="1" applyBorder="1" applyAlignment="1">
      <alignment horizontal="center"/>
    </xf>
    <xf numFmtId="169" fontId="2" fillId="0" borderId="17" xfId="0" quotePrefix="1" applyNumberFormat="1" applyFont="1" applyBorder="1" applyAlignment="1">
      <alignment horizontal="center"/>
    </xf>
    <xf numFmtId="169" fontId="2" fillId="0" borderId="18" xfId="0" quotePrefix="1" applyNumberFormat="1" applyFont="1" applyBorder="1" applyAlignment="1">
      <alignment horizontal="center"/>
    </xf>
    <xf numFmtId="169" fontId="6" fillId="0" borderId="31" xfId="0" applyNumberFormat="1" applyFont="1" applyBorder="1"/>
    <xf numFmtId="169" fontId="2" fillId="0" borderId="75" xfId="0" applyNumberFormat="1" applyFont="1" applyBorder="1" applyAlignment="1">
      <alignment horizontal="center"/>
    </xf>
    <xf numFmtId="171" fontId="2" fillId="0" borderId="75" xfId="0" applyNumberFormat="1" applyFont="1" applyFill="1" applyBorder="1" applyAlignment="1">
      <alignment horizontal="left"/>
    </xf>
    <xf numFmtId="171" fontId="1" fillId="0" borderId="75" xfId="0" applyNumberFormat="1" applyFont="1" applyFill="1" applyBorder="1"/>
    <xf numFmtId="169" fontId="6" fillId="0" borderId="75" xfId="0" applyNumberFormat="1" applyFont="1" applyBorder="1"/>
    <xf numFmtId="171" fontId="2" fillId="0" borderId="76" xfId="0" applyNumberFormat="1" applyFont="1" applyFill="1" applyBorder="1"/>
    <xf numFmtId="171" fontId="2" fillId="0" borderId="75" xfId="0" applyNumberFormat="1" applyFont="1" applyFill="1" applyBorder="1"/>
    <xf numFmtId="171" fontId="2" fillId="0" borderId="77" xfId="0" applyNumberFormat="1" applyFont="1" applyFill="1" applyBorder="1"/>
    <xf numFmtId="164" fontId="1" fillId="0" borderId="20" xfId="15" applyNumberFormat="1" applyFont="1" applyFill="1" applyBorder="1"/>
    <xf numFmtId="164" fontId="2" fillId="0" borderId="25" xfId="15" applyNumberFormat="1" applyFont="1" applyFill="1" applyBorder="1"/>
    <xf numFmtId="164" fontId="2" fillId="0" borderId="29" xfId="15" applyNumberFormat="1" applyFont="1" applyFill="1" applyBorder="1"/>
    <xf numFmtId="171" fontId="6" fillId="0" borderId="0" xfId="0" applyNumberFormat="1" applyFont="1" applyFill="1" applyBorder="1"/>
    <xf numFmtId="169" fontId="2" fillId="0" borderId="0" xfId="0" applyNumberFormat="1" applyFont="1" applyBorder="1" applyAlignment="1">
      <alignment horizontal="center"/>
    </xf>
    <xf numFmtId="169" fontId="2" fillId="0" borderId="75" xfId="0" applyNumberFormat="1" applyFont="1" applyBorder="1" applyAlignment="1">
      <alignment horizontal="center"/>
    </xf>
    <xf numFmtId="169" fontId="2" fillId="0" borderId="20" xfId="0" applyNumberFormat="1" applyFont="1" applyBorder="1" applyAlignment="1">
      <alignment horizontal="center"/>
    </xf>
    <xf numFmtId="169" fontId="2" fillId="0" borderId="19" xfId="0" applyNumberFormat="1" applyFont="1" applyBorder="1" applyAlignment="1">
      <alignment horizontal="center"/>
    </xf>
    <xf numFmtId="169" fontId="6" fillId="0" borderId="45" xfId="0" applyNumberFormat="1" applyFont="1" applyFill="1" applyBorder="1"/>
    <xf numFmtId="43" fontId="7" fillId="0" borderId="53" xfId="2" applyFont="1" applyFill="1" applyBorder="1"/>
    <xf numFmtId="43" fontId="7" fillId="0" borderId="55" xfId="2" applyFont="1" applyFill="1" applyBorder="1"/>
    <xf numFmtId="43" fontId="6" fillId="0" borderId="50" xfId="2" applyFont="1" applyFill="1" applyBorder="1"/>
    <xf numFmtId="43" fontId="6" fillId="0" borderId="51" xfId="2" applyFont="1" applyFill="1" applyBorder="1"/>
    <xf numFmtId="43" fontId="7" fillId="0" borderId="54" xfId="2" applyFont="1" applyFill="1" applyBorder="1"/>
    <xf numFmtId="43" fontId="7" fillId="0" borderId="56" xfId="2" applyFont="1" applyFill="1" applyBorder="1"/>
    <xf numFmtId="174" fontId="1" fillId="0" borderId="3" xfId="0" quotePrefix="1" applyNumberFormat="1" applyFont="1" applyFill="1" applyBorder="1" applyAlignment="1">
      <alignment horizontal="center"/>
    </xf>
    <xf numFmtId="43" fontId="7" fillId="0" borderId="19" xfId="2" applyFont="1" applyFill="1" applyBorder="1"/>
    <xf numFmtId="169" fontId="10" fillId="0" borderId="3" xfId="0" applyNumberFormat="1" applyFont="1" applyFill="1" applyBorder="1" applyAlignment="1">
      <alignment horizontal="center"/>
    </xf>
    <xf numFmtId="171" fontId="10" fillId="0" borderId="3" xfId="0" applyNumberFormat="1" applyFont="1" applyFill="1" applyBorder="1" applyAlignment="1">
      <alignment horizontal="left"/>
    </xf>
    <xf numFmtId="174" fontId="11" fillId="0" borderId="3" xfId="0" applyNumberFormat="1" applyFont="1" applyFill="1" applyBorder="1"/>
    <xf numFmtId="171" fontId="11" fillId="0" borderId="3" xfId="0" applyNumberFormat="1" applyFont="1" applyFill="1" applyBorder="1"/>
    <xf numFmtId="174" fontId="10" fillId="0" borderId="35" xfId="0" applyNumberFormat="1" applyFont="1" applyFill="1" applyBorder="1"/>
    <xf numFmtId="171" fontId="10" fillId="0" borderId="3" xfId="0" applyNumberFormat="1" applyFont="1" applyFill="1" applyBorder="1"/>
    <xf numFmtId="174" fontId="10" fillId="0" borderId="36" xfId="0" applyNumberFormat="1" applyFont="1" applyFill="1" applyBorder="1"/>
    <xf numFmtId="43" fontId="6" fillId="0" borderId="20" xfId="2" applyFont="1" applyFill="1" applyBorder="1"/>
    <xf numFmtId="169" fontId="6" fillId="0" borderId="44" xfId="0" applyNumberFormat="1" applyFont="1" applyFill="1" applyBorder="1"/>
    <xf numFmtId="43" fontId="7" fillId="0" borderId="57" xfId="2" applyFont="1" applyFill="1" applyBorder="1" applyAlignment="1">
      <alignment horizontal="right"/>
    </xf>
    <xf numFmtId="43" fontId="7" fillId="0" borderId="58" xfId="2" applyFont="1" applyFill="1" applyBorder="1" applyAlignment="1">
      <alignment horizontal="right"/>
    </xf>
    <xf numFmtId="174" fontId="13" fillId="0" borderId="53" xfId="0" applyNumberFormat="1" applyFont="1" applyFill="1" applyBorder="1" applyAlignment="1">
      <alignment horizontal="right" vertical="center"/>
    </xf>
    <xf numFmtId="164" fontId="13" fillId="0" borderId="54" xfId="15" applyNumberFormat="1" applyFont="1" applyFill="1" applyBorder="1" applyAlignment="1">
      <alignment horizontal="right" vertical="center"/>
    </xf>
    <xf numFmtId="169" fontId="14" fillId="0" borderId="19" xfId="0" applyNumberFormat="1" applyFont="1" applyFill="1" applyBorder="1" applyAlignment="1">
      <alignment horizontal="center"/>
    </xf>
    <xf numFmtId="169" fontId="14" fillId="0" borderId="0" xfId="0" applyNumberFormat="1" applyFont="1" applyBorder="1" applyAlignment="1">
      <alignment horizontal="center"/>
    </xf>
    <xf numFmtId="169" fontId="14" fillId="0" borderId="21" xfId="0" applyNumberFormat="1" applyFont="1" applyBorder="1" applyAlignment="1">
      <alignment horizontal="center"/>
    </xf>
    <xf numFmtId="169" fontId="14" fillId="0" borderId="3" xfId="0" applyNumberFormat="1" applyFont="1" applyBorder="1" applyAlignment="1">
      <alignment horizontal="center"/>
    </xf>
    <xf numFmtId="169" fontId="14" fillId="0" borderId="19" xfId="0" applyNumberFormat="1" applyFont="1" applyBorder="1" applyAlignment="1">
      <alignment horizontal="center"/>
    </xf>
    <xf numFmtId="169" fontId="14" fillId="0" borderId="75" xfId="0" applyNumberFormat="1" applyFont="1" applyBorder="1" applyAlignment="1">
      <alignment horizontal="center"/>
    </xf>
    <xf numFmtId="169" fontId="14" fillId="0" borderId="20" xfId="0" applyNumberFormat="1" applyFont="1" applyBorder="1" applyAlignment="1">
      <alignment horizontal="center"/>
    </xf>
    <xf numFmtId="169" fontId="14" fillId="0" borderId="0" xfId="0" applyNumberFormat="1" applyFont="1" applyFill="1" applyBorder="1" applyAlignment="1">
      <alignment horizontal="center"/>
    </xf>
    <xf numFmtId="169" fontId="14" fillId="0" borderId="31" xfId="0" applyNumberFormat="1" applyFont="1" applyFill="1" applyBorder="1" applyAlignment="1">
      <alignment horizontal="center"/>
    </xf>
    <xf numFmtId="169" fontId="14" fillId="0" borderId="3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9" xfId="0" applyFont="1" applyBorder="1"/>
    <xf numFmtId="0" fontId="14" fillId="0" borderId="0" xfId="0" applyFont="1" applyBorder="1"/>
    <xf numFmtId="0" fontId="14" fillId="0" borderId="20" xfId="0" applyFont="1" applyBorder="1"/>
    <xf numFmtId="169" fontId="14" fillId="0" borderId="0" xfId="0" applyNumberFormat="1" applyFont="1"/>
    <xf numFmtId="0" fontId="14" fillId="0" borderId="0" xfId="0" applyFont="1"/>
    <xf numFmtId="165" fontId="14" fillId="0" borderId="0" xfId="2" applyNumberFormat="1" applyFont="1"/>
    <xf numFmtId="169" fontId="14" fillId="0" borderId="21" xfId="0" applyNumberFormat="1" applyFont="1" applyFill="1" applyBorder="1" applyAlignment="1">
      <alignment horizontal="center"/>
    </xf>
    <xf numFmtId="169" fontId="2" fillId="0" borderId="18" xfId="0" quotePrefix="1" applyNumberFormat="1" applyFont="1" applyBorder="1" applyAlignment="1">
      <alignment horizontal="center"/>
    </xf>
    <xf numFmtId="169" fontId="14" fillId="0" borderId="27" xfId="0" applyNumberFormat="1" applyFont="1" applyFill="1" applyBorder="1" applyAlignment="1">
      <alignment horizontal="center"/>
    </xf>
    <xf numFmtId="169" fontId="14" fillId="0" borderId="26" xfId="0" applyNumberFormat="1" applyFont="1" applyFill="1" applyBorder="1" applyAlignment="1">
      <alignment horizontal="center"/>
    </xf>
    <xf numFmtId="169" fontId="14" fillId="0" borderId="36" xfId="0" applyNumberFormat="1" applyFont="1" applyFill="1" applyBorder="1" applyAlignment="1">
      <alignment horizontal="center"/>
    </xf>
    <xf numFmtId="9" fontId="14" fillId="0" borderId="36" xfId="15" applyFont="1" applyFill="1" applyBorder="1" applyAlignment="1">
      <alignment horizontal="center"/>
    </xf>
    <xf numFmtId="169" fontId="6" fillId="4" borderId="36" xfId="0" applyNumberFormat="1" applyFont="1" applyFill="1" applyBorder="1"/>
    <xf numFmtId="169" fontId="6" fillId="4" borderId="29" xfId="0" applyNumberFormat="1" applyFont="1" applyFill="1" applyBorder="1"/>
    <xf numFmtId="169" fontId="14" fillId="0" borderId="84" xfId="0" applyNumberFormat="1" applyFont="1" applyFill="1" applyBorder="1" applyAlignment="1">
      <alignment horizontal="center"/>
    </xf>
    <xf numFmtId="169" fontId="14" fillId="0" borderId="29" xfId="0" applyNumberFormat="1" applyFont="1" applyFill="1" applyBorder="1" applyAlignment="1">
      <alignment horizontal="center"/>
    </xf>
    <xf numFmtId="169" fontId="14" fillId="0" borderId="85" xfId="0" applyNumberFormat="1" applyFont="1" applyFill="1" applyBorder="1" applyAlignment="1">
      <alignment horizontal="center"/>
    </xf>
    <xf numFmtId="169" fontId="14" fillId="0" borderId="28" xfId="0" applyNumberFormat="1" applyFont="1" applyFill="1" applyBorder="1" applyAlignment="1">
      <alignment horizontal="center"/>
    </xf>
    <xf numFmtId="164" fontId="6" fillId="0" borderId="0" xfId="15" applyNumberFormat="1" applyFont="1" applyFill="1"/>
    <xf numFmtId="169" fontId="2" fillId="0" borderId="15" xfId="0" applyNumberFormat="1" applyFont="1" applyBorder="1" applyAlignment="1">
      <alignment horizontal="center"/>
    </xf>
    <xf numFmtId="169" fontId="2" fillId="0" borderId="16" xfId="0" applyNumberFormat="1" applyFont="1" applyBorder="1" applyAlignment="1">
      <alignment horizontal="center"/>
    </xf>
    <xf numFmtId="169" fontId="2" fillId="0" borderId="43" xfId="0" applyNumberFormat="1" applyFont="1" applyBorder="1" applyAlignment="1">
      <alignment horizontal="center"/>
    </xf>
    <xf numFmtId="169" fontId="2" fillId="0" borderId="44" xfId="0" quotePrefix="1" applyNumberFormat="1" applyFont="1" applyBorder="1" applyAlignment="1">
      <alignment horizontal="center"/>
    </xf>
    <xf numFmtId="169" fontId="2" fillId="0" borderId="45" xfId="0" applyNumberFormat="1" applyFont="1" applyBorder="1" applyAlignment="1">
      <alignment horizontal="center"/>
    </xf>
    <xf numFmtId="169" fontId="2" fillId="0" borderId="34" xfId="0" applyNumberFormat="1" applyFont="1" applyFill="1" applyBorder="1" applyAlignment="1">
      <alignment horizontal="center"/>
    </xf>
    <xf numFmtId="169" fontId="2" fillId="0" borderId="18" xfId="0" applyNumberFormat="1" applyFont="1" applyFill="1" applyBorder="1" applyAlignment="1">
      <alignment horizontal="center"/>
    </xf>
    <xf numFmtId="169" fontId="2" fillId="0" borderId="30" xfId="0" applyNumberFormat="1" applyFont="1" applyFill="1" applyBorder="1" applyAlignment="1">
      <alignment horizontal="center"/>
    </xf>
    <xf numFmtId="169" fontId="2" fillId="0" borderId="17" xfId="0" applyNumberFormat="1" applyFont="1" applyFill="1" applyBorder="1" applyAlignment="1">
      <alignment horizontal="center"/>
    </xf>
    <xf numFmtId="169" fontId="2" fillId="0" borderId="75" xfId="0" applyNumberFormat="1" applyFont="1" applyBorder="1" applyAlignment="1">
      <alignment horizontal="center"/>
    </xf>
    <xf numFmtId="169" fontId="2" fillId="0" borderId="0" xfId="0" applyNumberFormat="1" applyFont="1" applyBorder="1" applyAlignment="1">
      <alignment horizontal="center"/>
    </xf>
    <xf numFmtId="169" fontId="2" fillId="0" borderId="34" xfId="0" quotePrefix="1" applyNumberFormat="1" applyFont="1" applyBorder="1" applyAlignment="1">
      <alignment horizontal="center"/>
    </xf>
    <xf numFmtId="169" fontId="2" fillId="0" borderId="18" xfId="0" applyNumberFormat="1" applyFont="1" applyBorder="1" applyAlignment="1">
      <alignment horizontal="center"/>
    </xf>
    <xf numFmtId="169" fontId="2" fillId="0" borderId="74" xfId="0" applyNumberFormat="1" applyFont="1" applyBorder="1" applyAlignment="1">
      <alignment horizontal="center"/>
    </xf>
    <xf numFmtId="169" fontId="2" fillId="0" borderId="20" xfId="0" applyNumberFormat="1" applyFont="1" applyBorder="1" applyAlignment="1">
      <alignment horizontal="center"/>
    </xf>
    <xf numFmtId="169" fontId="2" fillId="0" borderId="44" xfId="0" applyNumberFormat="1" applyFont="1" applyBorder="1" applyAlignment="1">
      <alignment horizontal="center"/>
    </xf>
    <xf numFmtId="169" fontId="2" fillId="0" borderId="46" xfId="0" applyNumberFormat="1" applyFont="1" applyBorder="1" applyAlignment="1">
      <alignment horizontal="center"/>
    </xf>
    <xf numFmtId="169" fontId="2" fillId="0" borderId="30" xfId="0" applyNumberFormat="1" applyFont="1" applyBorder="1" applyAlignment="1">
      <alignment horizontal="center"/>
    </xf>
    <xf numFmtId="169" fontId="2" fillId="0" borderId="31" xfId="0" applyNumberFormat="1" applyFont="1" applyBorder="1" applyAlignment="1">
      <alignment horizontal="center"/>
    </xf>
    <xf numFmtId="169" fontId="2" fillId="0" borderId="17" xfId="0" quotePrefix="1" applyNumberFormat="1" applyFont="1" applyBorder="1" applyAlignment="1">
      <alignment horizontal="center"/>
    </xf>
    <xf numFmtId="169" fontId="2" fillId="0" borderId="30" xfId="0" quotePrefix="1" applyNumberFormat="1" applyFont="1" applyBorder="1" applyAlignment="1">
      <alignment horizontal="center"/>
    </xf>
    <xf numFmtId="169" fontId="2" fillId="0" borderId="19" xfId="0" applyNumberFormat="1" applyFont="1" applyBorder="1" applyAlignment="1">
      <alignment horizontal="center"/>
    </xf>
    <xf numFmtId="169" fontId="2" fillId="0" borderId="18" xfId="0" quotePrefix="1" applyNumberFormat="1" applyFont="1" applyBorder="1" applyAlignment="1">
      <alignment horizontal="center"/>
    </xf>
    <xf numFmtId="174" fontId="2" fillId="0" borderId="45" xfId="0" applyNumberFormat="1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174" fontId="2" fillId="0" borderId="53" xfId="0" applyNumberFormat="1" applyFont="1" applyFill="1" applyBorder="1" applyAlignment="1">
      <alignment vertical="center"/>
    </xf>
    <xf numFmtId="0" fontId="0" fillId="0" borderId="35" xfId="0" applyBorder="1" applyAlignment="1">
      <alignment vertical="center"/>
    </xf>
    <xf numFmtId="171" fontId="2" fillId="0" borderId="45" xfId="0" applyNumberFormat="1" applyFont="1" applyFill="1" applyBorder="1" applyAlignment="1">
      <alignment vertical="center"/>
    </xf>
    <xf numFmtId="0" fontId="2" fillId="4" borderId="45" xfId="0" applyFont="1" applyFill="1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32" xfId="0" applyBorder="1" applyAlignment="1">
      <alignment vertical="center"/>
    </xf>
    <xf numFmtId="0" fontId="1" fillId="4" borderId="44" xfId="0" applyFont="1" applyFill="1" applyBorder="1" applyAlignment="1"/>
    <xf numFmtId="0" fontId="0" fillId="0" borderId="45" xfId="0" applyBorder="1" applyAlignment="1"/>
    <xf numFmtId="0" fontId="0" fillId="0" borderId="46" xfId="0" applyBorder="1" applyAlignment="1"/>
    <xf numFmtId="0" fontId="0" fillId="0" borderId="23" xfId="0" applyBorder="1" applyAlignment="1"/>
    <xf numFmtId="0" fontId="0" fillId="0" borderId="22" xfId="0" applyBorder="1" applyAlignment="1"/>
    <xf numFmtId="0" fontId="0" fillId="0" borderId="25" xfId="0" applyBorder="1" applyAlignment="1"/>
    <xf numFmtId="0" fontId="1" fillId="4" borderId="23" xfId="0" applyFont="1" applyFill="1" applyBorder="1" applyAlignment="1"/>
    <xf numFmtId="0" fontId="0" fillId="0" borderId="50" xfId="0" applyBorder="1" applyAlignment="1"/>
    <xf numFmtId="0" fontId="0" fillId="0" borderId="51" xfId="0" applyBorder="1" applyAlignment="1"/>
    <xf numFmtId="0" fontId="0" fillId="0" borderId="52" xfId="0" applyBorder="1" applyAlignment="1"/>
    <xf numFmtId="174" fontId="2" fillId="0" borderId="44" xfId="0" applyNumberFormat="1" applyFont="1" applyFill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174" fontId="2" fillId="0" borderId="23" xfId="0" applyNumberFormat="1" applyFont="1" applyFill="1" applyBorder="1" applyAlignment="1">
      <alignment horizontal="right" vertical="center"/>
    </xf>
    <xf numFmtId="0" fontId="0" fillId="0" borderId="50" xfId="0" applyBorder="1" applyAlignment="1">
      <alignment horizontal="right" vertical="center"/>
    </xf>
    <xf numFmtId="174" fontId="2" fillId="4" borderId="45" xfId="0" quotePrefix="1" applyNumberFormat="1" applyFont="1" applyFill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174" fontId="2" fillId="0" borderId="22" xfId="0" applyNumberFormat="1" applyFont="1" applyFill="1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174" fontId="2" fillId="4" borderId="53" xfId="0" applyNumberFormat="1" applyFont="1" applyFill="1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174" fontId="2" fillId="4" borderId="35" xfId="0" applyNumberFormat="1" applyFont="1" applyFill="1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174" fontId="2" fillId="0" borderId="45" xfId="0" applyNumberFormat="1" applyFont="1" applyFill="1" applyBorder="1" applyAlignment="1">
      <alignment horizontal="right" vertical="center"/>
    </xf>
    <xf numFmtId="174" fontId="2" fillId="0" borderId="35" xfId="0" applyNumberFormat="1" applyFont="1" applyFill="1" applyBorder="1" applyAlignment="1">
      <alignment vertical="center"/>
    </xf>
    <xf numFmtId="0" fontId="0" fillId="0" borderId="54" xfId="0" applyBorder="1" applyAlignment="1">
      <alignment vertical="center"/>
    </xf>
    <xf numFmtId="171" fontId="2" fillId="0" borderId="53" xfId="0" applyNumberFormat="1" applyFont="1" applyFill="1" applyBorder="1" applyAlignment="1">
      <alignment vertical="center"/>
    </xf>
    <xf numFmtId="171" fontId="2" fillId="0" borderId="35" xfId="0" applyNumberFormat="1" applyFont="1" applyFill="1" applyBorder="1" applyAlignment="1">
      <alignment vertical="center"/>
    </xf>
    <xf numFmtId="174" fontId="2" fillId="0" borderId="22" xfId="0" applyNumberFormat="1" applyFont="1" applyFill="1" applyBorder="1" applyAlignment="1">
      <alignment vertical="center"/>
    </xf>
    <xf numFmtId="0" fontId="0" fillId="0" borderId="51" xfId="0" applyBorder="1" applyAlignment="1">
      <alignment vertical="center"/>
    </xf>
    <xf numFmtId="174" fontId="2" fillId="4" borderId="53" xfId="0" applyNumberFormat="1" applyFont="1" applyFill="1" applyBorder="1" applyAlignment="1"/>
    <xf numFmtId="0" fontId="0" fillId="0" borderId="35" xfId="0" applyBorder="1" applyAlignment="1"/>
    <xf numFmtId="174" fontId="2" fillId="4" borderId="35" xfId="0" applyNumberFormat="1" applyFont="1" applyFill="1" applyBorder="1" applyAlignment="1"/>
    <xf numFmtId="0" fontId="0" fillId="0" borderId="54" xfId="0" applyBorder="1" applyAlignment="1"/>
    <xf numFmtId="174" fontId="2" fillId="0" borderId="78" xfId="0" applyNumberFormat="1" applyFont="1" applyFill="1" applyBorder="1" applyAlignment="1">
      <alignment horizontal="center" vertical="center" wrapText="1"/>
    </xf>
    <xf numFmtId="174" fontId="2" fillId="0" borderId="31" xfId="0" applyNumberFormat="1" applyFont="1" applyFill="1" applyBorder="1" applyAlignment="1">
      <alignment horizontal="center" vertical="center" wrapText="1"/>
    </xf>
    <xf numFmtId="174" fontId="2" fillId="0" borderId="79" xfId="0" applyNumberFormat="1" applyFont="1" applyFill="1" applyBorder="1" applyAlignment="1">
      <alignment horizontal="center" vertical="center" wrapText="1"/>
    </xf>
    <xf numFmtId="171" fontId="2" fillId="4" borderId="45" xfId="0" applyNumberFormat="1" applyFont="1" applyFill="1" applyBorder="1" applyAlignment="1">
      <alignment vertical="center"/>
    </xf>
    <xf numFmtId="171" fontId="2" fillId="4" borderId="22" xfId="0" applyNumberFormat="1" applyFont="1" applyFill="1" applyBorder="1" applyAlignment="1">
      <alignment vertical="center"/>
    </xf>
    <xf numFmtId="174" fontId="2" fillId="0" borderId="53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4" fontId="2" fillId="0" borderId="35" xfId="0" applyNumberFormat="1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65" fontId="13" fillId="0" borderId="13" xfId="2" applyNumberFormat="1" applyFont="1" applyFill="1" applyBorder="1" applyAlignment="1">
      <alignment horizontal="right" vertical="center"/>
    </xf>
    <xf numFmtId="165" fontId="13" fillId="0" borderId="39" xfId="2" applyNumberFormat="1" applyFont="1" applyFill="1" applyBorder="1" applyAlignment="1">
      <alignment horizontal="right" vertical="center"/>
    </xf>
    <xf numFmtId="171" fontId="2" fillId="0" borderId="22" xfId="0" applyNumberFormat="1" applyFont="1" applyFill="1" applyBorder="1" applyAlignment="1">
      <alignment vertical="center"/>
    </xf>
    <xf numFmtId="171" fontId="2" fillId="4" borderId="57" xfId="0" applyNumberFormat="1" applyFont="1" applyFill="1" applyBorder="1" applyAlignment="1">
      <alignment vertical="center"/>
    </xf>
    <xf numFmtId="171" fontId="2" fillId="4" borderId="32" xfId="0" applyNumberFormat="1" applyFont="1" applyFill="1" applyBorder="1" applyAlignment="1">
      <alignment vertical="center"/>
    </xf>
    <xf numFmtId="0" fontId="0" fillId="0" borderId="58" xfId="0" applyBorder="1" applyAlignment="1">
      <alignment vertical="center"/>
    </xf>
    <xf numFmtId="164" fontId="2" fillId="0" borderId="53" xfId="15" applyNumberFormat="1" applyFont="1" applyFill="1" applyBorder="1" applyAlignment="1">
      <alignment vertical="center"/>
    </xf>
    <xf numFmtId="164" fontId="0" fillId="0" borderId="35" xfId="0" applyNumberFormat="1" applyBorder="1" applyAlignment="1">
      <alignment vertical="center"/>
    </xf>
    <xf numFmtId="164" fontId="2" fillId="0" borderId="35" xfId="15" applyNumberFormat="1" applyFont="1" applyFill="1" applyBorder="1" applyAlignment="1">
      <alignment vertical="center"/>
    </xf>
    <xf numFmtId="164" fontId="0" fillId="0" borderId="54" xfId="0" applyNumberFormat="1" applyBorder="1" applyAlignment="1">
      <alignment vertical="center"/>
    </xf>
    <xf numFmtId="174" fontId="2" fillId="4" borderId="55" xfId="0" applyNumberFormat="1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174" fontId="2" fillId="4" borderId="24" xfId="0" applyNumberFormat="1" applyFont="1" applyFill="1" applyBorder="1" applyAlignment="1">
      <alignment vertical="center"/>
    </xf>
    <xf numFmtId="0" fontId="0" fillId="0" borderId="56" xfId="0" applyBorder="1" applyAlignment="1">
      <alignment vertical="center"/>
    </xf>
    <xf numFmtId="171" fontId="2" fillId="4" borderId="44" xfId="0" applyNumberFormat="1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171" fontId="2" fillId="4" borderId="23" xfId="0" applyNumberFormat="1" applyFont="1" applyFill="1" applyBorder="1" applyAlignment="1">
      <alignment vertical="center"/>
    </xf>
    <xf numFmtId="0" fontId="0" fillId="0" borderId="50" xfId="0" applyBorder="1" applyAlignment="1">
      <alignment vertical="center"/>
    </xf>
    <xf numFmtId="0" fontId="2" fillId="4" borderId="22" xfId="0" applyFont="1" applyFill="1" applyBorder="1" applyAlignment="1">
      <alignment vertical="center"/>
    </xf>
    <xf numFmtId="171" fontId="2" fillId="4" borderId="55" xfId="0" applyNumberFormat="1" applyFont="1" applyFill="1" applyBorder="1" applyAlignment="1">
      <alignment vertical="center"/>
    </xf>
    <xf numFmtId="171" fontId="2" fillId="4" borderId="24" xfId="0" applyNumberFormat="1" applyFont="1" applyFill="1" applyBorder="1" applyAlignment="1">
      <alignment vertical="center"/>
    </xf>
    <xf numFmtId="0" fontId="0" fillId="0" borderId="45" xfId="0" applyBorder="1" applyAlignment="1">
      <alignment vertical="center"/>
    </xf>
    <xf numFmtId="176" fontId="2" fillId="0" borderId="45" xfId="15" applyNumberFormat="1" applyFont="1" applyFill="1" applyBorder="1" applyAlignment="1">
      <alignment vertical="center"/>
    </xf>
    <xf numFmtId="176" fontId="2" fillId="0" borderId="22" xfId="15" applyNumberFormat="1" applyFont="1" applyFill="1" applyBorder="1" applyAlignment="1">
      <alignment vertical="center"/>
    </xf>
    <xf numFmtId="0" fontId="2" fillId="0" borderId="4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4" borderId="44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2" fillId="4" borderId="51" xfId="0" applyFont="1" applyFill="1" applyBorder="1" applyAlignment="1">
      <alignment horizontal="center" vertical="center"/>
    </xf>
    <xf numFmtId="0" fontId="2" fillId="4" borderId="52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/>
    </xf>
    <xf numFmtId="0" fontId="2" fillId="4" borderId="46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2" fillId="4" borderId="50" xfId="0" applyFont="1" applyFill="1" applyBorder="1" applyAlignment="1">
      <alignment horizontal="center"/>
    </xf>
    <xf numFmtId="0" fontId="2" fillId="4" borderId="52" xfId="0" applyFont="1" applyFill="1" applyBorder="1" applyAlignment="1">
      <alignment horizontal="center"/>
    </xf>
    <xf numFmtId="0" fontId="2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176" fontId="2" fillId="4" borderId="45" xfId="15" applyNumberFormat="1" applyFont="1" applyFill="1" applyBorder="1" applyAlignment="1">
      <alignment vertical="center"/>
    </xf>
    <xf numFmtId="176" fontId="2" fillId="4" borderId="22" xfId="15" applyNumberFormat="1" applyFont="1" applyFill="1" applyBorder="1" applyAlignment="1">
      <alignment vertical="center"/>
    </xf>
    <xf numFmtId="174" fontId="2" fillId="0" borderId="80" xfId="0" applyNumberFormat="1" applyFont="1" applyFill="1" applyBorder="1" applyAlignment="1">
      <alignment vertical="center"/>
    </xf>
    <xf numFmtId="0" fontId="0" fillId="0" borderId="3" xfId="0" applyBorder="1" applyAlignment="1">
      <alignment vertical="center"/>
    </xf>
    <xf numFmtId="164" fontId="2" fillId="0" borderId="80" xfId="15" applyNumberFormat="1" applyFont="1" applyFill="1" applyBorder="1" applyAlignment="1">
      <alignment vertical="center"/>
    </xf>
    <xf numFmtId="164" fontId="0" fillId="0" borderId="3" xfId="0" applyNumberFormat="1" applyBorder="1" applyAlignment="1">
      <alignment vertical="center"/>
    </xf>
    <xf numFmtId="174" fontId="2" fillId="0" borderId="3" xfId="0" applyNumberFormat="1" applyFont="1" applyFill="1" applyBorder="1" applyAlignment="1">
      <alignment vertical="center"/>
    </xf>
    <xf numFmtId="0" fontId="0" fillId="0" borderId="81" xfId="0" applyBorder="1" applyAlignment="1">
      <alignment vertical="center"/>
    </xf>
    <xf numFmtId="164" fontId="2" fillId="0" borderId="3" xfId="15" applyNumberFormat="1" applyFont="1" applyFill="1" applyBorder="1" applyAlignment="1">
      <alignment vertical="center"/>
    </xf>
    <xf numFmtId="164" fontId="0" fillId="0" borderId="81" xfId="0" applyNumberFormat="1" applyBorder="1" applyAlignment="1">
      <alignment vertical="center"/>
    </xf>
    <xf numFmtId="174" fontId="2" fillId="4" borderId="82" xfId="0" applyNumberFormat="1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174" fontId="2" fillId="4" borderId="23" xfId="0" applyNumberFormat="1" applyFont="1" applyFill="1" applyBorder="1" applyAlignment="1">
      <alignment horizontal="right" vertical="center"/>
    </xf>
    <xf numFmtId="0" fontId="0" fillId="4" borderId="50" xfId="0" applyFill="1" applyBorder="1" applyAlignment="1">
      <alignment horizontal="right" vertical="center"/>
    </xf>
    <xf numFmtId="174" fontId="2" fillId="4" borderId="21" xfId="0" applyNumberFormat="1" applyFont="1" applyFill="1" applyBorder="1" applyAlignment="1">
      <alignment vertical="center"/>
    </xf>
    <xf numFmtId="0" fontId="0" fillId="0" borderId="83" xfId="0" applyBorder="1" applyAlignment="1">
      <alignment vertical="center"/>
    </xf>
    <xf numFmtId="171" fontId="2" fillId="4" borderId="44" xfId="0" applyNumberFormat="1" applyFont="1" applyFill="1" applyBorder="1" applyAlignment="1">
      <alignment horizontal="center"/>
    </xf>
    <xf numFmtId="171" fontId="2" fillId="4" borderId="45" xfId="0" applyNumberFormat="1" applyFont="1" applyFill="1" applyBorder="1" applyAlignment="1">
      <alignment horizontal="center"/>
    </xf>
    <xf numFmtId="171" fontId="2" fillId="4" borderId="23" xfId="0" applyNumberFormat="1" applyFont="1" applyFill="1" applyBorder="1" applyAlignment="1">
      <alignment horizontal="center"/>
    </xf>
    <xf numFmtId="171" fontId="2" fillId="4" borderId="22" xfId="0" applyNumberFormat="1" applyFont="1" applyFill="1" applyBorder="1" applyAlignment="1">
      <alignment horizontal="center"/>
    </xf>
    <xf numFmtId="171" fontId="2" fillId="4" borderId="50" xfId="0" applyNumberFormat="1" applyFont="1" applyFill="1" applyBorder="1" applyAlignment="1">
      <alignment horizontal="center"/>
    </xf>
    <xf numFmtId="171" fontId="2" fillId="4" borderId="51" xfId="0" applyNumberFormat="1" applyFont="1" applyFill="1" applyBorder="1" applyAlignment="1">
      <alignment horizontal="center"/>
    </xf>
    <xf numFmtId="169" fontId="2" fillId="0" borderId="34" xfId="0" applyNumberFormat="1" applyFont="1" applyBorder="1" applyAlignment="1">
      <alignment horizontal="center"/>
    </xf>
    <xf numFmtId="169" fontId="2" fillId="0" borderId="76" xfId="0" applyNumberFormat="1" applyFont="1" applyFill="1" applyBorder="1" applyAlignment="1">
      <alignment horizontal="center"/>
    </xf>
    <xf numFmtId="169" fontId="2" fillId="0" borderId="22" xfId="0" applyNumberFormat="1" applyFont="1" applyFill="1" applyBorder="1" applyAlignment="1">
      <alignment horizontal="center"/>
    </xf>
    <xf numFmtId="169" fontId="2" fillId="0" borderId="32" xfId="0" applyNumberFormat="1" applyFont="1" applyFill="1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165" fontId="7" fillId="0" borderId="47" xfId="2" applyNumberFormat="1" applyFont="1" applyBorder="1" applyAlignment="1">
      <alignment horizontal="center"/>
    </xf>
    <xf numFmtId="165" fontId="7" fillId="0" borderId="48" xfId="2" applyNumberFormat="1" applyFont="1" applyBorder="1" applyAlignment="1">
      <alignment horizontal="center"/>
    </xf>
    <xf numFmtId="165" fontId="7" fillId="0" borderId="40" xfId="2" quotePrefix="1" applyNumberFormat="1" applyFont="1" applyBorder="1" applyAlignment="1">
      <alignment horizontal="center"/>
    </xf>
    <xf numFmtId="165" fontId="7" fillId="0" borderId="41" xfId="2" quotePrefix="1" applyNumberFormat="1" applyFont="1" applyBorder="1" applyAlignment="1">
      <alignment horizontal="center"/>
    </xf>
    <xf numFmtId="165" fontId="7" fillId="0" borderId="42" xfId="2" quotePrefix="1" applyNumberFormat="1" applyFont="1" applyBorder="1" applyAlignment="1">
      <alignment horizontal="center"/>
    </xf>
    <xf numFmtId="165" fontId="7" fillId="0" borderId="47" xfId="2" quotePrefix="1" applyNumberFormat="1" applyFont="1" applyBorder="1" applyAlignment="1">
      <alignment horizontal="center"/>
    </xf>
    <xf numFmtId="165" fontId="7" fillId="0" borderId="49" xfId="2" quotePrefix="1" applyNumberFormat="1" applyFont="1" applyBorder="1" applyAlignment="1">
      <alignment horizontal="center"/>
    </xf>
    <xf numFmtId="165" fontId="7" fillId="0" borderId="48" xfId="2" quotePrefix="1" applyNumberFormat="1" applyFont="1" applyBorder="1" applyAlignment="1">
      <alignment horizontal="center"/>
    </xf>
    <xf numFmtId="165" fontId="7" fillId="0" borderId="63" xfId="2" quotePrefix="1" applyNumberFormat="1" applyFont="1" applyBorder="1" applyAlignment="1">
      <alignment horizontal="center"/>
    </xf>
    <xf numFmtId="165" fontId="7" fillId="0" borderId="65" xfId="2" quotePrefix="1" applyNumberFormat="1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165" fontId="9" fillId="0" borderId="40" xfId="2" applyNumberFormat="1" applyFont="1" applyBorder="1" applyAlignment="1">
      <alignment horizontal="center"/>
    </xf>
    <xf numFmtId="165" fontId="9" fillId="0" borderId="41" xfId="2" applyNumberFormat="1" applyFont="1" applyBorder="1" applyAlignment="1">
      <alignment horizontal="center"/>
    </xf>
    <xf numFmtId="10" fontId="9" fillId="0" borderId="8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0" fontId="9" fillId="0" borderId="9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0" fontId="9" fillId="0" borderId="1" xfId="0" applyNumberFormat="1" applyFont="1" applyBorder="1" applyAlignment="1">
      <alignment horizontal="center" vertical="center"/>
    </xf>
    <xf numFmtId="10" fontId="9" fillId="0" borderId="6" xfId="0" applyNumberFormat="1" applyFont="1" applyBorder="1" applyAlignment="1">
      <alignment horizontal="center" vertical="center"/>
    </xf>
    <xf numFmtId="10" fontId="9" fillId="0" borderId="2" xfId="0" applyNumberFormat="1" applyFont="1" applyBorder="1" applyAlignment="1">
      <alignment horizontal="center" vertical="center"/>
    </xf>
    <xf numFmtId="10" fontId="9" fillId="0" borderId="7" xfId="0" applyNumberFormat="1" applyFont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/>
    </xf>
    <xf numFmtId="168" fontId="9" fillId="2" borderId="3" xfId="6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left" vertical="center"/>
    </xf>
    <xf numFmtId="0" fontId="9" fillId="3" borderId="38" xfId="0" applyFont="1" applyFill="1" applyBorder="1" applyAlignment="1">
      <alignment horizontal="left" vertical="center"/>
    </xf>
    <xf numFmtId="168" fontId="9" fillId="3" borderId="3" xfId="6" applyNumberFormat="1" applyFont="1" applyFill="1" applyBorder="1" applyAlignment="1">
      <alignment horizontal="center" vertical="center"/>
    </xf>
    <xf numFmtId="168" fontId="9" fillId="3" borderId="39" xfId="6" applyNumberFormat="1" applyFont="1" applyFill="1" applyBorder="1" applyAlignment="1">
      <alignment horizontal="center" vertical="center"/>
    </xf>
    <xf numFmtId="10" fontId="9" fillId="3" borderId="2" xfId="0" applyNumberFormat="1" applyFont="1" applyFill="1" applyBorder="1" applyAlignment="1">
      <alignment horizontal="center" vertical="center"/>
    </xf>
    <xf numFmtId="10" fontId="9" fillId="3" borderId="7" xfId="0" applyNumberFormat="1" applyFont="1" applyFill="1" applyBorder="1" applyAlignment="1">
      <alignment horizontal="center" vertical="center"/>
    </xf>
    <xf numFmtId="168" fontId="9" fillId="2" borderId="2" xfId="6" applyNumberFormat="1" applyFont="1" applyFill="1" applyBorder="1" applyAlignment="1">
      <alignment horizontal="center" vertical="center"/>
    </xf>
    <xf numFmtId="10" fontId="9" fillId="2" borderId="2" xfId="0" applyNumberFormat="1" applyFont="1" applyFill="1" applyBorder="1" applyAlignment="1">
      <alignment horizontal="center" vertical="center"/>
    </xf>
    <xf numFmtId="10" fontId="9" fillId="3" borderId="1" xfId="0" applyNumberFormat="1" applyFont="1" applyFill="1" applyBorder="1" applyAlignment="1">
      <alignment horizontal="center" vertical="center"/>
    </xf>
    <xf numFmtId="10" fontId="9" fillId="3" borderId="6" xfId="0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left" vertical="center"/>
    </xf>
    <xf numFmtId="0" fontId="9" fillId="3" borderId="10" xfId="0" applyFont="1" applyFill="1" applyBorder="1" applyAlignment="1">
      <alignment horizontal="left" vertical="center"/>
    </xf>
    <xf numFmtId="168" fontId="9" fillId="3" borderId="2" xfId="6" applyNumberFormat="1" applyFont="1" applyFill="1" applyBorder="1" applyAlignment="1">
      <alignment horizontal="center" vertical="center"/>
    </xf>
  </cellXfs>
  <cellStyles count="18">
    <cellStyle name="%" xfId="1"/>
    <cellStyle name="Comma" xfId="2" builtinId="3"/>
    <cellStyle name="Comma 2" xfId="3"/>
    <cellStyle name="Comma 3" xfId="4"/>
    <cellStyle name="Comma 4" xfId="5"/>
    <cellStyle name="Currency" xfId="6" builtinId="4"/>
    <cellStyle name="Currency 2" xfId="7"/>
    <cellStyle name="Currency 3" xfId="8"/>
    <cellStyle name="Currency 4" xfId="9"/>
    <cellStyle name="Normal" xfId="0" builtinId="0"/>
    <cellStyle name="Normal 2" xfId="10"/>
    <cellStyle name="Normal 2 2" xfId="11"/>
    <cellStyle name="Normal 3" xfId="12"/>
    <cellStyle name="Normal 4" xfId="13"/>
    <cellStyle name="Normal 5" xfId="14"/>
    <cellStyle name="Percent" xfId="15" builtinId="5"/>
    <cellStyle name="Percent 2" xfId="16"/>
    <cellStyle name="Percent 2 2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\Finance\ISB\13-14ISB\Main%20ISB\ISB%20Release%2003%202013-14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vidual School Summaries"/>
      <sheetName val="Release Details"/>
      <sheetName val="Revisions Required"/>
      <sheetName val="Basic and Funding Value Inputs"/>
      <sheetName val="School Funding"/>
      <sheetName val="Notional Funding"/>
      <sheetName val="De-Delegations"/>
      <sheetName val="Floors &amp; Ceilings"/>
      <sheetName val="Calculations"/>
      <sheetName val="School Data"/>
      <sheetName val="PreviousYearData"/>
      <sheetName val="Change from 11-12 In Year"/>
      <sheetName val="Change from 12-13 Provisional"/>
      <sheetName val="Go To Places"/>
      <sheetName val="Data"/>
      <sheetName val="Print Dialog"/>
      <sheetName val="Email Dialog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B7" t="str">
            <v>PRIMARY SCHOOLS</v>
          </cell>
          <cell r="D7">
            <v>0</v>
          </cell>
          <cell r="E7">
            <v>3.97</v>
          </cell>
          <cell r="G7">
            <v>0</v>
          </cell>
          <cell r="H7">
            <v>23.77</v>
          </cell>
          <cell r="J7">
            <v>0</v>
          </cell>
          <cell r="K7">
            <v>3.61</v>
          </cell>
          <cell r="M7">
            <v>0</v>
          </cell>
          <cell r="N7">
            <v>4.75</v>
          </cell>
          <cell r="O7">
            <v>0</v>
          </cell>
          <cell r="P7">
            <v>39.58</v>
          </cell>
          <cell r="Q7">
            <v>0</v>
          </cell>
          <cell r="R7">
            <v>127.13</v>
          </cell>
          <cell r="S7">
            <v>0</v>
          </cell>
          <cell r="T7">
            <v>26.17</v>
          </cell>
          <cell r="U7">
            <v>0</v>
          </cell>
          <cell r="W7">
            <v>0</v>
          </cell>
          <cell r="X7">
            <v>3.09</v>
          </cell>
          <cell r="Y7">
            <v>0</v>
          </cell>
          <cell r="Z7">
            <v>51.53</v>
          </cell>
          <cell r="AA7">
            <v>0</v>
          </cell>
          <cell r="AB7">
            <v>34.07</v>
          </cell>
          <cell r="AC7">
            <v>0</v>
          </cell>
          <cell r="AD7">
            <v>0</v>
          </cell>
          <cell r="AE7">
            <v>0</v>
          </cell>
          <cell r="AG7">
            <v>0</v>
          </cell>
        </row>
        <row r="8">
          <cell r="A8">
            <v>2000</v>
          </cell>
          <cell r="B8" t="str">
            <v>Acomb Primary</v>
          </cell>
          <cell r="D8">
            <v>223</v>
          </cell>
          <cell r="E8">
            <v>885.31000000000006</v>
          </cell>
          <cell r="G8">
            <v>12.999999999999991</v>
          </cell>
          <cell r="H8">
            <v>309.00999999999976</v>
          </cell>
          <cell r="J8">
            <v>223</v>
          </cell>
          <cell r="K8">
            <v>805.03</v>
          </cell>
          <cell r="M8">
            <v>223</v>
          </cell>
          <cell r="N8">
            <v>1059.25</v>
          </cell>
          <cell r="O8">
            <v>12.999999999999991</v>
          </cell>
          <cell r="P8">
            <v>514.53999999999962</v>
          </cell>
          <cell r="Q8">
            <v>1.2598870056497167</v>
          </cell>
          <cell r="R8">
            <v>160.16943502824847</v>
          </cell>
          <cell r="S8">
            <v>29.983193277310917</v>
          </cell>
          <cell r="T8">
            <v>784.66016806722678</v>
          </cell>
          <cell r="U8">
            <v>2518.6196030954748</v>
          </cell>
          <cell r="W8">
            <v>223</v>
          </cell>
          <cell r="X8">
            <v>689.06999999999994</v>
          </cell>
          <cell r="Y8">
            <v>12.999999999999991</v>
          </cell>
          <cell r="Z8">
            <v>669.88999999999953</v>
          </cell>
          <cell r="AA8">
            <v>29.983193277310917</v>
          </cell>
          <cell r="AB8">
            <v>1021.527394957983</v>
          </cell>
          <cell r="AC8">
            <v>2380.4873949579824</v>
          </cell>
          <cell r="AD8">
            <v>0</v>
          </cell>
          <cell r="AE8">
            <v>6898.456998053457</v>
          </cell>
          <cell r="AG8">
            <v>0</v>
          </cell>
        </row>
        <row r="9">
          <cell r="A9">
            <v>3229</v>
          </cell>
          <cell r="B9" t="str">
            <v>Archbishop of York's CE Junior</v>
          </cell>
          <cell r="D9">
            <v>229</v>
          </cell>
          <cell r="E9">
            <v>909.13</v>
          </cell>
          <cell r="G9">
            <v>6.9999999999999885</v>
          </cell>
          <cell r="H9">
            <v>166.38999999999973</v>
          </cell>
          <cell r="J9">
            <v>229</v>
          </cell>
          <cell r="K9">
            <v>826.68999999999994</v>
          </cell>
          <cell r="M9">
            <v>229</v>
          </cell>
          <cell r="N9">
            <v>1087.75</v>
          </cell>
          <cell r="O9">
            <v>6.9999999999999885</v>
          </cell>
          <cell r="P9">
            <v>277.05999999999955</v>
          </cell>
          <cell r="Q9">
            <v>1.0000000000000009</v>
          </cell>
          <cell r="R9">
            <v>127.13000000000011</v>
          </cell>
          <cell r="S9">
            <v>49.353448275861993</v>
          </cell>
          <cell r="T9">
            <v>1291.5797413793084</v>
          </cell>
          <cell r="U9">
            <v>2783.519741379308</v>
          </cell>
          <cell r="W9">
            <v>229</v>
          </cell>
          <cell r="X9">
            <v>707.61</v>
          </cell>
          <cell r="Y9">
            <v>6.9999999999999885</v>
          </cell>
          <cell r="Z9">
            <v>360.70999999999941</v>
          </cell>
          <cell r="AA9">
            <v>49.353448275861993</v>
          </cell>
          <cell r="AB9">
            <v>1681.4719827586182</v>
          </cell>
          <cell r="AC9">
            <v>2749.7919827586175</v>
          </cell>
          <cell r="AD9">
            <v>0</v>
          </cell>
          <cell r="AE9">
            <v>7435.521724137925</v>
          </cell>
          <cell r="AG9">
            <v>0</v>
          </cell>
        </row>
        <row r="10">
          <cell r="A10">
            <v>2431</v>
          </cell>
          <cell r="B10" t="str">
            <v>Badger Hill Primary</v>
          </cell>
          <cell r="D10">
            <v>144</v>
          </cell>
          <cell r="E10">
            <v>571.68000000000006</v>
          </cell>
          <cell r="G10">
            <v>9.062937062937058</v>
          </cell>
          <cell r="H10">
            <v>215.42601398601386</v>
          </cell>
          <cell r="J10">
            <v>144</v>
          </cell>
          <cell r="K10">
            <v>519.84</v>
          </cell>
          <cell r="M10">
            <v>144</v>
          </cell>
          <cell r="N10">
            <v>684</v>
          </cell>
          <cell r="O10">
            <v>9.062937062937058</v>
          </cell>
          <cell r="P10">
            <v>358.71104895104872</v>
          </cell>
          <cell r="Q10">
            <v>27.789473684210545</v>
          </cell>
          <cell r="R10">
            <v>3532.8757894736864</v>
          </cell>
          <cell r="S10">
            <v>20.869565217391298</v>
          </cell>
          <cell r="T10">
            <v>546.15652173913031</v>
          </cell>
          <cell r="U10">
            <v>5121.7433601638659</v>
          </cell>
          <cell r="W10">
            <v>144</v>
          </cell>
          <cell r="X10">
            <v>444.96</v>
          </cell>
          <cell r="Y10">
            <v>9.062937062937058</v>
          </cell>
          <cell r="Z10">
            <v>467.01314685314662</v>
          </cell>
          <cell r="AA10">
            <v>20.869565217391298</v>
          </cell>
          <cell r="AB10">
            <v>711.02608695652157</v>
          </cell>
          <cell r="AC10">
            <v>1622.9992338096681</v>
          </cell>
          <cell r="AD10">
            <v>0</v>
          </cell>
          <cell r="AE10">
            <v>8051.6886079595479</v>
          </cell>
          <cell r="AG10">
            <v>0</v>
          </cell>
        </row>
        <row r="11">
          <cell r="A11">
            <v>2386</v>
          </cell>
          <cell r="B11" t="str">
            <v>Bishopthorpe Infant</v>
          </cell>
          <cell r="D11">
            <v>179</v>
          </cell>
          <cell r="E11">
            <v>710.63</v>
          </cell>
          <cell r="G11">
            <v>6.9999999999999911</v>
          </cell>
          <cell r="H11">
            <v>166.38999999999979</v>
          </cell>
          <cell r="J11">
            <v>179</v>
          </cell>
          <cell r="K11">
            <v>646.18999999999994</v>
          </cell>
          <cell r="M11">
            <v>179</v>
          </cell>
          <cell r="N11">
            <v>850.25</v>
          </cell>
          <cell r="O11">
            <v>6.9999999999999911</v>
          </cell>
          <cell r="P11">
            <v>277.05999999999966</v>
          </cell>
          <cell r="Q11">
            <v>1.491666666666666</v>
          </cell>
          <cell r="R11">
            <v>189.63558333333324</v>
          </cell>
          <cell r="S11">
            <v>35.491379310344911</v>
          </cell>
          <cell r="T11">
            <v>928.80939655172642</v>
          </cell>
          <cell r="U11">
            <v>2245.7549798850596</v>
          </cell>
          <cell r="W11">
            <v>179</v>
          </cell>
          <cell r="X11">
            <v>553.11</v>
          </cell>
          <cell r="Y11">
            <v>6.9999999999999911</v>
          </cell>
          <cell r="Z11">
            <v>360.70999999999952</v>
          </cell>
          <cell r="AA11">
            <v>35.491379310344911</v>
          </cell>
          <cell r="AB11">
            <v>1209.191293103451</v>
          </cell>
          <cell r="AC11">
            <v>2123.0112931034505</v>
          </cell>
          <cell r="AD11">
            <v>0</v>
          </cell>
          <cell r="AE11">
            <v>5891.9762729885097</v>
          </cell>
          <cell r="AG11">
            <v>0</v>
          </cell>
        </row>
        <row r="12">
          <cell r="A12">
            <v>2024</v>
          </cell>
          <cell r="B12" t="str">
            <v>Burton Green Primary</v>
          </cell>
          <cell r="D12">
            <v>165</v>
          </cell>
          <cell r="E12">
            <v>655.05000000000007</v>
          </cell>
          <cell r="G12">
            <v>58.416149068322923</v>
          </cell>
          <cell r="H12">
            <v>1388.551863354036</v>
          </cell>
          <cell r="J12">
            <v>165</v>
          </cell>
          <cell r="K12">
            <v>595.65</v>
          </cell>
          <cell r="M12">
            <v>165</v>
          </cell>
          <cell r="N12">
            <v>783.75</v>
          </cell>
          <cell r="O12">
            <v>58.416149068322923</v>
          </cell>
          <cell r="P12">
            <v>2312.1111801242214</v>
          </cell>
          <cell r="Q12">
            <v>10.457746478873233</v>
          </cell>
          <cell r="R12">
            <v>1329.4933098591541</v>
          </cell>
          <cell r="S12">
            <v>80.70652173913048</v>
          </cell>
          <cell r="T12">
            <v>2112.0896739130449</v>
          </cell>
          <cell r="U12">
            <v>6537.4441638964208</v>
          </cell>
          <cell r="W12">
            <v>165</v>
          </cell>
          <cell r="X12">
            <v>509.84999999999997</v>
          </cell>
          <cell r="Y12">
            <v>58.416149068322923</v>
          </cell>
          <cell r="Z12">
            <v>3010.1841614906803</v>
          </cell>
          <cell r="AA12">
            <v>80.70652173913048</v>
          </cell>
          <cell r="AB12">
            <v>2749.6711956521754</v>
          </cell>
          <cell r="AC12">
            <v>6269.7053571428551</v>
          </cell>
          <cell r="AD12">
            <v>0</v>
          </cell>
          <cell r="AE12">
            <v>15446.401384393312</v>
          </cell>
          <cell r="AG12">
            <v>0</v>
          </cell>
        </row>
        <row r="13">
          <cell r="A13">
            <v>2003</v>
          </cell>
          <cell r="B13" t="str">
            <v>Carr Infant</v>
          </cell>
          <cell r="D13">
            <v>229</v>
          </cell>
          <cell r="E13">
            <v>909.13</v>
          </cell>
          <cell r="G13">
            <v>51.449339207048439</v>
          </cell>
          <cell r="H13">
            <v>1222.9507929515414</v>
          </cell>
          <cell r="J13">
            <v>229</v>
          </cell>
          <cell r="K13">
            <v>826.68999999999994</v>
          </cell>
          <cell r="M13">
            <v>229</v>
          </cell>
          <cell r="N13">
            <v>1087.75</v>
          </cell>
          <cell r="O13">
            <v>51.449339207048439</v>
          </cell>
          <cell r="P13">
            <v>2036.3648458149771</v>
          </cell>
          <cell r="Q13">
            <v>10.904761904761902</v>
          </cell>
          <cell r="R13">
            <v>1386.3223809523804</v>
          </cell>
          <cell r="S13">
            <v>61.171232876712359</v>
          </cell>
          <cell r="T13">
            <v>1600.8511643835625</v>
          </cell>
          <cell r="U13">
            <v>6111.2883911509207</v>
          </cell>
          <cell r="W13">
            <v>229</v>
          </cell>
          <cell r="X13">
            <v>707.61</v>
          </cell>
          <cell r="Y13">
            <v>51.449339207048439</v>
          </cell>
          <cell r="Z13">
            <v>2651.1844493392059</v>
          </cell>
          <cell r="AA13">
            <v>61.171232876712359</v>
          </cell>
          <cell r="AB13">
            <v>2084.1039041095901</v>
          </cell>
          <cell r="AC13">
            <v>5442.8983534487961</v>
          </cell>
          <cell r="AD13">
            <v>0</v>
          </cell>
          <cell r="AE13">
            <v>14512.957537551258</v>
          </cell>
          <cell r="AG13">
            <v>0</v>
          </cell>
        </row>
        <row r="14">
          <cell r="A14">
            <v>2002</v>
          </cell>
          <cell r="B14" t="str">
            <v>Carr Junior</v>
          </cell>
          <cell r="D14">
            <v>219</v>
          </cell>
          <cell r="E14">
            <v>869.43000000000006</v>
          </cell>
          <cell r="G14">
            <v>35.000000000000107</v>
          </cell>
          <cell r="H14">
            <v>831.95000000000255</v>
          </cell>
          <cell r="J14">
            <v>219</v>
          </cell>
          <cell r="K14">
            <v>790.58999999999992</v>
          </cell>
          <cell r="M14">
            <v>219</v>
          </cell>
          <cell r="N14">
            <v>1040.25</v>
          </cell>
          <cell r="O14">
            <v>35.000000000000107</v>
          </cell>
          <cell r="P14">
            <v>1385.300000000004</v>
          </cell>
          <cell r="Q14">
            <v>4</v>
          </cell>
          <cell r="R14">
            <v>508.52</v>
          </cell>
          <cell r="S14">
            <v>60.712871287128657</v>
          </cell>
          <cell r="T14">
            <v>1588.8558415841571</v>
          </cell>
          <cell r="U14">
            <v>4522.9258415841614</v>
          </cell>
          <cell r="W14">
            <v>219</v>
          </cell>
          <cell r="X14">
            <v>676.70999999999992</v>
          </cell>
          <cell r="Y14">
            <v>35.000000000000107</v>
          </cell>
          <cell r="Z14">
            <v>1803.5500000000056</v>
          </cell>
          <cell r="AA14">
            <v>60.712871287128657</v>
          </cell>
          <cell r="AB14">
            <v>2068.4875247524733</v>
          </cell>
          <cell r="AC14">
            <v>4548.747524752479</v>
          </cell>
          <cell r="AD14">
            <v>0</v>
          </cell>
          <cell r="AE14">
            <v>11563.643366336644</v>
          </cell>
          <cell r="AG14">
            <v>0</v>
          </cell>
        </row>
        <row r="15">
          <cell r="A15">
            <v>2018</v>
          </cell>
          <cell r="B15" t="str">
            <v>Clifton Green Primary</v>
          </cell>
          <cell r="D15">
            <v>362</v>
          </cell>
          <cell r="E15">
            <v>1437.14</v>
          </cell>
          <cell r="G15">
            <v>126.04456824512546</v>
          </cell>
          <cell r="H15">
            <v>2996.0793871866322</v>
          </cell>
          <cell r="J15">
            <v>362</v>
          </cell>
          <cell r="K15">
            <v>1306.82</v>
          </cell>
          <cell r="M15">
            <v>362</v>
          </cell>
          <cell r="N15">
            <v>1719.5</v>
          </cell>
          <cell r="O15">
            <v>126.04456824512546</v>
          </cell>
          <cell r="P15">
            <v>4988.8440111420659</v>
          </cell>
          <cell r="Q15">
            <v>34.877076411960132</v>
          </cell>
          <cell r="R15">
            <v>4433.9227242524912</v>
          </cell>
          <cell r="S15">
            <v>108.77832512315256</v>
          </cell>
          <cell r="T15">
            <v>2846.7287684729026</v>
          </cell>
          <cell r="U15">
            <v>13988.99550386746</v>
          </cell>
          <cell r="W15">
            <v>362</v>
          </cell>
          <cell r="X15">
            <v>1118.58</v>
          </cell>
          <cell r="Y15">
            <v>126.04456824512546</v>
          </cell>
          <cell r="Z15">
            <v>6495.0766016713151</v>
          </cell>
          <cell r="AA15">
            <v>108.77832512315256</v>
          </cell>
          <cell r="AB15">
            <v>3706.0775369458074</v>
          </cell>
          <cell r="AC15">
            <v>11319.734138617123</v>
          </cell>
          <cell r="AD15">
            <v>0</v>
          </cell>
          <cell r="AE15">
            <v>31048.769029671217</v>
          </cell>
          <cell r="AG15">
            <v>0</v>
          </cell>
        </row>
        <row r="16">
          <cell r="A16">
            <v>2430</v>
          </cell>
          <cell r="B16" t="str">
            <v>Clifton With Rawcliffe Primary</v>
          </cell>
          <cell r="D16">
            <v>536</v>
          </cell>
          <cell r="E16">
            <v>2127.92</v>
          </cell>
          <cell r="G16">
            <v>23.042990654205621</v>
          </cell>
          <cell r="H16">
            <v>547.73188785046761</v>
          </cell>
          <cell r="J16">
            <v>536</v>
          </cell>
          <cell r="K16">
            <v>1934.96</v>
          </cell>
          <cell r="M16">
            <v>536</v>
          </cell>
          <cell r="N16">
            <v>2546</v>
          </cell>
          <cell r="O16">
            <v>23.042990654205621</v>
          </cell>
          <cell r="P16">
            <v>912.0415700934584</v>
          </cell>
          <cell r="Q16">
            <v>16.862921348314622</v>
          </cell>
          <cell r="R16">
            <v>2143.7831910112377</v>
          </cell>
          <cell r="S16">
            <v>41.535055350553513</v>
          </cell>
          <cell r="T16">
            <v>1086.9723985239855</v>
          </cell>
          <cell r="U16">
            <v>6688.7971596286807</v>
          </cell>
          <cell r="W16">
            <v>536</v>
          </cell>
          <cell r="X16">
            <v>1656.24</v>
          </cell>
          <cell r="Y16">
            <v>23.042990654205621</v>
          </cell>
          <cell r="Z16">
            <v>1187.4053084112156</v>
          </cell>
          <cell r="AA16">
            <v>41.535055350553513</v>
          </cell>
          <cell r="AB16">
            <v>1415.0993357933583</v>
          </cell>
          <cell r="AC16">
            <v>4258.7446442045739</v>
          </cell>
          <cell r="AD16">
            <v>0</v>
          </cell>
          <cell r="AE16">
            <v>15558.153691683721</v>
          </cell>
          <cell r="AG16">
            <v>0</v>
          </cell>
        </row>
        <row r="17">
          <cell r="A17">
            <v>2013</v>
          </cell>
          <cell r="B17" t="str">
            <v>Copmanthorpe Primary</v>
          </cell>
          <cell r="D17">
            <v>349</v>
          </cell>
          <cell r="E17">
            <v>1385.53</v>
          </cell>
          <cell r="G17">
            <v>12.034482758620706</v>
          </cell>
          <cell r="H17">
            <v>286.05965517241418</v>
          </cell>
          <cell r="J17">
            <v>349</v>
          </cell>
          <cell r="K17">
            <v>1259.8899999999999</v>
          </cell>
          <cell r="M17">
            <v>349</v>
          </cell>
          <cell r="N17">
            <v>1657.75</v>
          </cell>
          <cell r="O17">
            <v>12.034482758620706</v>
          </cell>
          <cell r="P17">
            <v>476.32482758620756</v>
          </cell>
          <cell r="Q17">
            <v>5.8557046979865817</v>
          </cell>
          <cell r="R17">
            <v>744.43573825503415</v>
          </cell>
          <cell r="S17">
            <v>35.06698564593318</v>
          </cell>
          <cell r="T17">
            <v>917.70301435407134</v>
          </cell>
          <cell r="U17">
            <v>3796.2135801953132</v>
          </cell>
          <cell r="W17">
            <v>349</v>
          </cell>
          <cell r="X17">
            <v>1078.4099999999999</v>
          </cell>
          <cell r="Y17">
            <v>12.034482758620706</v>
          </cell>
          <cell r="Z17">
            <v>620.13689655172504</v>
          </cell>
          <cell r="AA17">
            <v>35.06698564593318</v>
          </cell>
          <cell r="AB17">
            <v>1194.7322009569434</v>
          </cell>
          <cell r="AC17">
            <v>2893.2790975086682</v>
          </cell>
          <cell r="AD17">
            <v>0</v>
          </cell>
          <cell r="AE17">
            <v>9620.9723328763957</v>
          </cell>
          <cell r="AG17">
            <v>0</v>
          </cell>
        </row>
        <row r="18">
          <cell r="A18">
            <v>2006</v>
          </cell>
          <cell r="B18" t="str">
            <v>Derwent Infant</v>
          </cell>
          <cell r="D18">
            <v>45</v>
          </cell>
          <cell r="E18">
            <v>178.65</v>
          </cell>
          <cell r="G18">
            <v>22.999999999999993</v>
          </cell>
          <cell r="H18">
            <v>546.70999999999981</v>
          </cell>
          <cell r="J18">
            <v>45</v>
          </cell>
          <cell r="K18">
            <v>162.44999999999999</v>
          </cell>
          <cell r="M18">
            <v>45</v>
          </cell>
          <cell r="N18">
            <v>213.75</v>
          </cell>
          <cell r="O18">
            <v>22.999999999999993</v>
          </cell>
          <cell r="P18">
            <v>910.33999999999969</v>
          </cell>
          <cell r="Q18">
            <v>4.5</v>
          </cell>
          <cell r="R18">
            <v>572.08500000000004</v>
          </cell>
          <cell r="S18">
            <v>13.965517241379315</v>
          </cell>
          <cell r="T18">
            <v>365.47758620689672</v>
          </cell>
          <cell r="U18">
            <v>2061.6525862068966</v>
          </cell>
          <cell r="W18">
            <v>45</v>
          </cell>
          <cell r="X18">
            <v>139.04999999999998</v>
          </cell>
          <cell r="Y18">
            <v>22.999999999999993</v>
          </cell>
          <cell r="Z18">
            <v>1185.1899999999996</v>
          </cell>
          <cell r="AA18">
            <v>13.965517241379315</v>
          </cell>
          <cell r="AB18">
            <v>475.80517241379329</v>
          </cell>
          <cell r="AC18">
            <v>1800.0451724137929</v>
          </cell>
          <cell r="AD18">
            <v>0</v>
          </cell>
          <cell r="AE18">
            <v>4749.5077586206889</v>
          </cell>
          <cell r="AG18">
            <v>0</v>
          </cell>
        </row>
        <row r="19">
          <cell r="A19">
            <v>2005</v>
          </cell>
          <cell r="B19" t="str">
            <v>Derwent Junior</v>
          </cell>
          <cell r="D19">
            <v>54</v>
          </cell>
          <cell r="E19">
            <v>214.38000000000002</v>
          </cell>
          <cell r="G19">
            <v>21.999999999999979</v>
          </cell>
          <cell r="H19">
            <v>522.93999999999949</v>
          </cell>
          <cell r="J19">
            <v>54</v>
          </cell>
          <cell r="K19">
            <v>194.94</v>
          </cell>
          <cell r="M19">
            <v>54</v>
          </cell>
          <cell r="N19">
            <v>256.5</v>
          </cell>
          <cell r="O19">
            <v>21.999999999999979</v>
          </cell>
          <cell r="P19">
            <v>870.75999999999908</v>
          </cell>
          <cell r="Q19">
            <v>0.999999999999999</v>
          </cell>
          <cell r="R19">
            <v>127.12999999999987</v>
          </cell>
          <cell r="S19">
            <v>15.120000000000001</v>
          </cell>
          <cell r="T19">
            <v>395.69040000000007</v>
          </cell>
          <cell r="U19">
            <v>1650.0803999999989</v>
          </cell>
          <cell r="W19">
            <v>54</v>
          </cell>
          <cell r="X19">
            <v>166.85999999999999</v>
          </cell>
          <cell r="Y19">
            <v>21.999999999999979</v>
          </cell>
          <cell r="Z19">
            <v>1133.6599999999989</v>
          </cell>
          <cell r="AA19">
            <v>15.120000000000001</v>
          </cell>
          <cell r="AB19">
            <v>515.13840000000005</v>
          </cell>
          <cell r="AC19">
            <v>1815.6583999999989</v>
          </cell>
          <cell r="AD19">
            <v>0</v>
          </cell>
          <cell r="AE19">
            <v>4397.9987999999976</v>
          </cell>
          <cell r="AG19">
            <v>0</v>
          </cell>
        </row>
        <row r="20">
          <cell r="A20">
            <v>2007</v>
          </cell>
          <cell r="B20" t="str">
            <v>Dringhouses Primary</v>
          </cell>
          <cell r="D20">
            <v>295</v>
          </cell>
          <cell r="E20">
            <v>1171.1500000000001</v>
          </cell>
          <cell r="G20">
            <v>23.000000000000014</v>
          </cell>
          <cell r="H20">
            <v>546.71000000000038</v>
          </cell>
          <cell r="J20">
            <v>295</v>
          </cell>
          <cell r="K20">
            <v>1064.95</v>
          </cell>
          <cell r="M20">
            <v>295</v>
          </cell>
          <cell r="N20">
            <v>1401.25</v>
          </cell>
          <cell r="O20">
            <v>23.000000000000014</v>
          </cell>
          <cell r="P20">
            <v>910.34000000000049</v>
          </cell>
          <cell r="Q20">
            <v>7.08</v>
          </cell>
          <cell r="R20">
            <v>900.08039999999994</v>
          </cell>
          <cell r="S20">
            <v>25.974842767295595</v>
          </cell>
          <cell r="T20">
            <v>679.76163522012575</v>
          </cell>
          <cell r="U20">
            <v>3891.4320352201262</v>
          </cell>
          <cell r="W20">
            <v>295</v>
          </cell>
          <cell r="X20">
            <v>911.55</v>
          </cell>
          <cell r="Y20">
            <v>23.000000000000014</v>
          </cell>
          <cell r="Z20">
            <v>1185.1900000000007</v>
          </cell>
          <cell r="AA20">
            <v>25.974842767295595</v>
          </cell>
          <cell r="AB20">
            <v>884.96289308176097</v>
          </cell>
          <cell r="AC20">
            <v>2981.7028930817614</v>
          </cell>
          <cell r="AD20">
            <v>0</v>
          </cell>
          <cell r="AE20">
            <v>9655.9449283018876</v>
          </cell>
          <cell r="AG20">
            <v>0</v>
          </cell>
        </row>
        <row r="21">
          <cell r="A21">
            <v>3151</v>
          </cell>
          <cell r="B21" t="str">
            <v>Dunnington Primary</v>
          </cell>
          <cell r="D21">
            <v>249</v>
          </cell>
          <cell r="E21">
            <v>988.53000000000009</v>
          </cell>
          <cell r="G21">
            <v>10.040322580645164</v>
          </cell>
          <cell r="H21">
            <v>238.65846774193554</v>
          </cell>
          <cell r="J21">
            <v>249</v>
          </cell>
          <cell r="K21">
            <v>898.89</v>
          </cell>
          <cell r="M21">
            <v>249</v>
          </cell>
          <cell r="N21">
            <v>1182.75</v>
          </cell>
          <cell r="O21">
            <v>10.040322580645164</v>
          </cell>
          <cell r="P21">
            <v>397.39596774193558</v>
          </cell>
          <cell r="Q21">
            <v>3.540284360189577</v>
          </cell>
          <cell r="R21">
            <v>450.0763507109009</v>
          </cell>
          <cell r="S21">
            <v>5.976</v>
          </cell>
          <cell r="T21">
            <v>156.39192</v>
          </cell>
          <cell r="U21">
            <v>2186.6142384528366</v>
          </cell>
          <cell r="W21">
            <v>249</v>
          </cell>
          <cell r="X21">
            <v>769.41</v>
          </cell>
          <cell r="Y21">
            <v>10.040322580645164</v>
          </cell>
          <cell r="Z21">
            <v>517.37782258064533</v>
          </cell>
          <cell r="AA21">
            <v>5.976</v>
          </cell>
          <cell r="AB21">
            <v>203.60231999999999</v>
          </cell>
          <cell r="AC21">
            <v>1490.3901425806453</v>
          </cell>
          <cell r="AD21">
            <v>0</v>
          </cell>
          <cell r="AE21">
            <v>5803.082848775417</v>
          </cell>
          <cell r="AG21">
            <v>0</v>
          </cell>
        </row>
        <row r="22">
          <cell r="A22">
            <v>3152</v>
          </cell>
          <cell r="B22" t="str">
            <v>Elvington Primary</v>
          </cell>
          <cell r="D22">
            <v>135</v>
          </cell>
          <cell r="E22">
            <v>535.95000000000005</v>
          </cell>
          <cell r="G22">
            <v>2.9999999999999969</v>
          </cell>
          <cell r="H22">
            <v>71.309999999999931</v>
          </cell>
          <cell r="J22">
            <v>135</v>
          </cell>
          <cell r="K22">
            <v>487.34999999999997</v>
          </cell>
          <cell r="M22">
            <v>135</v>
          </cell>
          <cell r="N22">
            <v>641.25</v>
          </cell>
          <cell r="O22">
            <v>2.9999999999999969</v>
          </cell>
          <cell r="P22">
            <v>118.73999999999987</v>
          </cell>
          <cell r="Q22">
            <v>0</v>
          </cell>
          <cell r="R22">
            <v>0</v>
          </cell>
          <cell r="S22">
            <v>13.309859154929571</v>
          </cell>
          <cell r="T22">
            <v>348.31901408450688</v>
          </cell>
          <cell r="U22">
            <v>1108.3090140845068</v>
          </cell>
          <cell r="W22">
            <v>135</v>
          </cell>
          <cell r="X22">
            <v>417.15</v>
          </cell>
          <cell r="Y22">
            <v>2.9999999999999969</v>
          </cell>
          <cell r="Z22">
            <v>154.58999999999983</v>
          </cell>
          <cell r="AA22">
            <v>13.309859154929571</v>
          </cell>
          <cell r="AB22">
            <v>453.4669014084505</v>
          </cell>
          <cell r="AC22">
            <v>1025.2069014084502</v>
          </cell>
          <cell r="AD22">
            <v>0</v>
          </cell>
          <cell r="AE22">
            <v>3228.1259154929567</v>
          </cell>
          <cell r="AG22">
            <v>0</v>
          </cell>
        </row>
        <row r="23">
          <cell r="A23">
            <v>2008</v>
          </cell>
          <cell r="B23" t="str">
            <v>Fishergate Primary</v>
          </cell>
          <cell r="D23">
            <v>230</v>
          </cell>
          <cell r="E23">
            <v>913.1</v>
          </cell>
          <cell r="G23">
            <v>21.5625</v>
          </cell>
          <cell r="H23">
            <v>512.54062499999998</v>
          </cell>
          <cell r="J23">
            <v>230</v>
          </cell>
          <cell r="K23">
            <v>830.3</v>
          </cell>
          <cell r="M23">
            <v>230</v>
          </cell>
          <cell r="N23">
            <v>1092.5</v>
          </cell>
          <cell r="O23">
            <v>21.5625</v>
          </cell>
          <cell r="P23">
            <v>853.44374999999991</v>
          </cell>
          <cell r="Q23">
            <v>25.274725274725299</v>
          </cell>
          <cell r="R23">
            <v>3213.1758241758271</v>
          </cell>
          <cell r="S23">
            <v>29.918699186991841</v>
          </cell>
          <cell r="T23">
            <v>782.97235772357658</v>
          </cell>
          <cell r="U23">
            <v>5942.0919318994038</v>
          </cell>
          <cell r="W23">
            <v>230</v>
          </cell>
          <cell r="X23">
            <v>710.69999999999993</v>
          </cell>
          <cell r="Y23">
            <v>21.5625</v>
          </cell>
          <cell r="Z23">
            <v>1111.1156250000001</v>
          </cell>
          <cell r="AA23">
            <v>29.918699186991841</v>
          </cell>
          <cell r="AB23">
            <v>1019.330081300812</v>
          </cell>
          <cell r="AC23">
            <v>2841.145706300812</v>
          </cell>
          <cell r="AD23">
            <v>0</v>
          </cell>
          <cell r="AE23">
            <v>11039.178263200218</v>
          </cell>
          <cell r="AG23">
            <v>0</v>
          </cell>
        </row>
        <row r="24">
          <cell r="A24">
            <v>2009</v>
          </cell>
          <cell r="B24" t="str">
            <v>Haxby Road Primary</v>
          </cell>
          <cell r="D24">
            <v>159</v>
          </cell>
          <cell r="E24">
            <v>631.23</v>
          </cell>
          <cell r="G24">
            <v>65.673913043478336</v>
          </cell>
          <cell r="H24">
            <v>1561.0689130434801</v>
          </cell>
          <cell r="J24">
            <v>159</v>
          </cell>
          <cell r="K24">
            <v>573.99</v>
          </cell>
          <cell r="M24">
            <v>159</v>
          </cell>
          <cell r="N24">
            <v>755.25</v>
          </cell>
          <cell r="O24">
            <v>65.673913043478336</v>
          </cell>
          <cell r="P24">
            <v>2599.3734782608726</v>
          </cell>
          <cell r="Q24">
            <v>19.120253164556956</v>
          </cell>
          <cell r="R24">
            <v>2430.7577848101259</v>
          </cell>
          <cell r="S24">
            <v>73.14</v>
          </cell>
          <cell r="T24">
            <v>1914.0738000000001</v>
          </cell>
          <cell r="U24">
            <v>7699.4550630709982</v>
          </cell>
          <cell r="W24">
            <v>159</v>
          </cell>
          <cell r="X24">
            <v>491.31</v>
          </cell>
          <cell r="Y24">
            <v>65.673913043478336</v>
          </cell>
          <cell r="Z24">
            <v>3384.1767391304388</v>
          </cell>
          <cell r="AA24">
            <v>73.14</v>
          </cell>
          <cell r="AB24">
            <v>2491.8798000000002</v>
          </cell>
          <cell r="AC24">
            <v>6367.3665391304385</v>
          </cell>
          <cell r="AD24">
            <v>0</v>
          </cell>
          <cell r="AE24">
            <v>16833.110515244916</v>
          </cell>
          <cell r="AG24">
            <v>0</v>
          </cell>
        </row>
        <row r="25">
          <cell r="A25">
            <v>2241</v>
          </cell>
          <cell r="B25" t="str">
            <v>Headlands Primary</v>
          </cell>
          <cell r="D25">
            <v>281</v>
          </cell>
          <cell r="E25">
            <v>1115.5700000000002</v>
          </cell>
          <cell r="G25">
            <v>3.0107142857142817</v>
          </cell>
          <cell r="H25">
            <v>71.564678571428473</v>
          </cell>
          <cell r="J25">
            <v>281</v>
          </cell>
          <cell r="K25">
            <v>1014.41</v>
          </cell>
          <cell r="M25">
            <v>281</v>
          </cell>
          <cell r="N25">
            <v>1334.75</v>
          </cell>
          <cell r="O25">
            <v>3.0107142857142817</v>
          </cell>
          <cell r="P25">
            <v>119.16407142857126</v>
          </cell>
          <cell r="Q25">
            <v>5.9282700421940895</v>
          </cell>
          <cell r="R25">
            <v>753.66097046413461</v>
          </cell>
          <cell r="S25">
            <v>21.61538461538461</v>
          </cell>
          <cell r="T25">
            <v>565.67461538461532</v>
          </cell>
          <cell r="U25">
            <v>2773.2496572773211</v>
          </cell>
          <cell r="W25">
            <v>281</v>
          </cell>
          <cell r="X25">
            <v>868.29</v>
          </cell>
          <cell r="Y25">
            <v>3.0107142857142817</v>
          </cell>
          <cell r="Z25">
            <v>155.14210714285693</v>
          </cell>
          <cell r="AA25">
            <v>21.61538461538461</v>
          </cell>
          <cell r="AB25">
            <v>736.43615384615362</v>
          </cell>
          <cell r="AC25">
            <v>1759.8682609890107</v>
          </cell>
          <cell r="AD25">
            <v>0</v>
          </cell>
          <cell r="AE25">
            <v>6734.6625968377612</v>
          </cell>
          <cell r="AG25">
            <v>0</v>
          </cell>
        </row>
        <row r="26">
          <cell r="A26">
            <v>2001</v>
          </cell>
          <cell r="B26" t="str">
            <v>Hempland Primary</v>
          </cell>
          <cell r="D26">
            <v>410</v>
          </cell>
          <cell r="E26">
            <v>1627.7</v>
          </cell>
          <cell r="G26">
            <v>5.9999999999999938</v>
          </cell>
          <cell r="H26">
            <v>142.61999999999986</v>
          </cell>
          <cell r="J26">
            <v>410</v>
          </cell>
          <cell r="K26">
            <v>1480.1</v>
          </cell>
          <cell r="M26">
            <v>410</v>
          </cell>
          <cell r="N26">
            <v>1947.5</v>
          </cell>
          <cell r="O26">
            <v>5.9999999999999938</v>
          </cell>
          <cell r="P26">
            <v>237.47999999999973</v>
          </cell>
          <cell r="Q26">
            <v>5.8404558404558218</v>
          </cell>
          <cell r="R26">
            <v>742.49715099714865</v>
          </cell>
          <cell r="S26">
            <v>59.86725663716804</v>
          </cell>
          <cell r="T26">
            <v>1566.7261061946876</v>
          </cell>
          <cell r="U26">
            <v>4494.2032571918362</v>
          </cell>
          <cell r="W26">
            <v>410</v>
          </cell>
          <cell r="X26">
            <v>1266.8999999999999</v>
          </cell>
          <cell r="Y26">
            <v>5.9999999999999938</v>
          </cell>
          <cell r="Z26">
            <v>309.17999999999967</v>
          </cell>
          <cell r="AA26">
            <v>59.86725663716804</v>
          </cell>
          <cell r="AB26">
            <v>2039.6774336283152</v>
          </cell>
          <cell r="AC26">
            <v>3615.7574336283146</v>
          </cell>
          <cell r="AD26">
            <v>0</v>
          </cell>
          <cell r="AE26">
            <v>11360.380690820151</v>
          </cell>
          <cell r="AG26">
            <v>0</v>
          </cell>
        </row>
        <row r="27">
          <cell r="A27">
            <v>3302</v>
          </cell>
          <cell r="B27" t="str">
            <v>Heworth CE Primary</v>
          </cell>
          <cell r="D27">
            <v>142</v>
          </cell>
          <cell r="E27">
            <v>563.74</v>
          </cell>
          <cell r="G27">
            <v>13.000000000000002</v>
          </cell>
          <cell r="H27">
            <v>309.01000000000005</v>
          </cell>
          <cell r="J27">
            <v>142</v>
          </cell>
          <cell r="K27">
            <v>512.62</v>
          </cell>
          <cell r="M27">
            <v>142</v>
          </cell>
          <cell r="N27">
            <v>674.5</v>
          </cell>
          <cell r="O27">
            <v>13.000000000000002</v>
          </cell>
          <cell r="P27">
            <v>514.54000000000008</v>
          </cell>
          <cell r="Q27">
            <v>2.3089430894308922</v>
          </cell>
          <cell r="R27">
            <v>293.53593495934933</v>
          </cell>
          <cell r="S27">
            <v>4.115942028985506</v>
          </cell>
          <cell r="T27">
            <v>107.7142028985507</v>
          </cell>
          <cell r="U27">
            <v>1590.2901378578999</v>
          </cell>
          <cell r="W27">
            <v>142</v>
          </cell>
          <cell r="X27">
            <v>438.78</v>
          </cell>
          <cell r="Y27">
            <v>13.000000000000002</v>
          </cell>
          <cell r="Z27">
            <v>669.8900000000001</v>
          </cell>
          <cell r="AA27">
            <v>4.115942028985506</v>
          </cell>
          <cell r="AB27">
            <v>140.2301449275362</v>
          </cell>
          <cell r="AC27">
            <v>1248.9001449275363</v>
          </cell>
          <cell r="AD27">
            <v>0</v>
          </cell>
          <cell r="AE27">
            <v>4224.5602827854364</v>
          </cell>
          <cell r="AG27">
            <v>0</v>
          </cell>
        </row>
        <row r="28">
          <cell r="A28">
            <v>2028</v>
          </cell>
          <cell r="B28" t="str">
            <v>Hob Moor Primary</v>
          </cell>
          <cell r="D28">
            <v>269</v>
          </cell>
          <cell r="E28">
            <v>1067.93</v>
          </cell>
          <cell r="G28">
            <v>89.666666666666572</v>
          </cell>
          <cell r="H28">
            <v>2131.3766666666643</v>
          </cell>
          <cell r="J28">
            <v>269</v>
          </cell>
          <cell r="K28">
            <v>971.08999999999992</v>
          </cell>
          <cell r="M28">
            <v>269</v>
          </cell>
          <cell r="N28">
            <v>1277.75</v>
          </cell>
          <cell r="O28">
            <v>89.666666666666572</v>
          </cell>
          <cell r="P28">
            <v>3549.0066666666626</v>
          </cell>
          <cell r="Q28">
            <v>13.092920353982297</v>
          </cell>
          <cell r="R28">
            <v>1664.5029646017695</v>
          </cell>
          <cell r="S28">
            <v>58.162162162162105</v>
          </cell>
          <cell r="T28">
            <v>1522.1037837837823</v>
          </cell>
          <cell r="U28">
            <v>8013.3634150522139</v>
          </cell>
          <cell r="W28">
            <v>269</v>
          </cell>
          <cell r="X28">
            <v>831.20999999999992</v>
          </cell>
          <cell r="Y28">
            <v>89.666666666666572</v>
          </cell>
          <cell r="Z28">
            <v>4620.523333333329</v>
          </cell>
          <cell r="AA28">
            <v>58.162162162162105</v>
          </cell>
          <cell r="AB28">
            <v>1981.584864864863</v>
          </cell>
          <cell r="AC28">
            <v>7433.3181981981925</v>
          </cell>
          <cell r="AD28">
            <v>0</v>
          </cell>
          <cell r="AE28">
            <v>19617.07827991707</v>
          </cell>
          <cell r="AG28">
            <v>0</v>
          </cell>
        </row>
        <row r="29">
          <cell r="A29">
            <v>2180</v>
          </cell>
          <cell r="B29" t="str">
            <v>Huntington Primary</v>
          </cell>
          <cell r="D29">
            <v>412</v>
          </cell>
          <cell r="E29">
            <v>1635.64</v>
          </cell>
          <cell r="G29">
            <v>22.053527980535279</v>
          </cell>
          <cell r="H29">
            <v>524.21236009732354</v>
          </cell>
          <cell r="J29">
            <v>412</v>
          </cell>
          <cell r="K29">
            <v>1487.32</v>
          </cell>
          <cell r="M29">
            <v>412</v>
          </cell>
          <cell r="N29">
            <v>1957</v>
          </cell>
          <cell r="O29">
            <v>22.053527980535279</v>
          </cell>
          <cell r="P29">
            <v>872.87863746958624</v>
          </cell>
          <cell r="Q29">
            <v>6.8476454293629025</v>
          </cell>
          <cell r="R29">
            <v>870.5411634349058</v>
          </cell>
          <cell r="S29">
            <v>96.425531914893469</v>
          </cell>
          <cell r="T29">
            <v>2523.4561702127621</v>
          </cell>
          <cell r="U29">
            <v>6223.8759711172543</v>
          </cell>
          <cell r="W29">
            <v>412</v>
          </cell>
          <cell r="X29">
            <v>1273.08</v>
          </cell>
          <cell r="Y29">
            <v>22.053527980535279</v>
          </cell>
          <cell r="Z29">
            <v>1136.418296836983</v>
          </cell>
          <cell r="AA29">
            <v>96.425531914893469</v>
          </cell>
          <cell r="AB29">
            <v>3285.2178723404204</v>
          </cell>
          <cell r="AC29">
            <v>5694.7161691774036</v>
          </cell>
          <cell r="AD29">
            <v>0</v>
          </cell>
          <cell r="AE29">
            <v>15565.764500391981</v>
          </cell>
          <cell r="AG29">
            <v>0</v>
          </cell>
        </row>
        <row r="30">
          <cell r="A30">
            <v>2011</v>
          </cell>
          <cell r="B30" t="str">
            <v>Knavesmire Primary</v>
          </cell>
          <cell r="D30">
            <v>284</v>
          </cell>
          <cell r="E30">
            <v>1127.48</v>
          </cell>
          <cell r="G30">
            <v>15</v>
          </cell>
          <cell r="H30">
            <v>356.55</v>
          </cell>
          <cell r="J30">
            <v>284</v>
          </cell>
          <cell r="K30">
            <v>1025.24</v>
          </cell>
          <cell r="M30">
            <v>284</v>
          </cell>
          <cell r="N30">
            <v>1349</v>
          </cell>
          <cell r="O30">
            <v>15</v>
          </cell>
          <cell r="P30">
            <v>593.69999999999993</v>
          </cell>
          <cell r="Q30">
            <v>1.2511013215859046</v>
          </cell>
          <cell r="R30">
            <v>159.05251101321605</v>
          </cell>
          <cell r="S30">
            <v>43.558282208588857</v>
          </cell>
          <cell r="T30">
            <v>1139.9202453987705</v>
          </cell>
          <cell r="U30">
            <v>3241.6727564119865</v>
          </cell>
          <cell r="W30">
            <v>284</v>
          </cell>
          <cell r="X30">
            <v>877.56</v>
          </cell>
          <cell r="Y30">
            <v>15</v>
          </cell>
          <cell r="Z30">
            <v>772.95</v>
          </cell>
          <cell r="AA30">
            <v>43.558282208588857</v>
          </cell>
          <cell r="AB30">
            <v>1484.0306748466223</v>
          </cell>
          <cell r="AC30">
            <v>3134.5406748466221</v>
          </cell>
          <cell r="AD30">
            <v>0</v>
          </cell>
          <cell r="AE30">
            <v>8885.4834312586099</v>
          </cell>
          <cell r="AG30">
            <v>0</v>
          </cell>
        </row>
        <row r="31">
          <cell r="A31">
            <v>2428</v>
          </cell>
          <cell r="B31" t="str">
            <v>Lakeside Primary</v>
          </cell>
          <cell r="D31">
            <v>327</v>
          </cell>
          <cell r="E31">
            <v>1298.19</v>
          </cell>
          <cell r="G31">
            <v>41.000000000000036</v>
          </cell>
          <cell r="H31">
            <v>974.57000000000085</v>
          </cell>
          <cell r="J31">
            <v>327</v>
          </cell>
          <cell r="K31">
            <v>1180.47</v>
          </cell>
          <cell r="M31">
            <v>327</v>
          </cell>
          <cell r="N31">
            <v>1553.25</v>
          </cell>
          <cell r="O31">
            <v>41.000000000000036</v>
          </cell>
          <cell r="P31">
            <v>1622.7800000000013</v>
          </cell>
          <cell r="Q31">
            <v>20.588888888888899</v>
          </cell>
          <cell r="R31">
            <v>2617.4654444444454</v>
          </cell>
          <cell r="S31">
            <v>51.438202247191057</v>
          </cell>
          <cell r="T31">
            <v>1346.1377528089902</v>
          </cell>
          <cell r="U31">
            <v>7139.6331972534372</v>
          </cell>
          <cell r="W31">
            <v>327</v>
          </cell>
          <cell r="X31">
            <v>1010.43</v>
          </cell>
          <cell r="Y31">
            <v>41.000000000000036</v>
          </cell>
          <cell r="Z31">
            <v>2112.7300000000018</v>
          </cell>
          <cell r="AA31">
            <v>51.438202247191057</v>
          </cell>
          <cell r="AB31">
            <v>1752.4995505617994</v>
          </cell>
          <cell r="AC31">
            <v>4875.6595505618006</v>
          </cell>
          <cell r="AD31">
            <v>0</v>
          </cell>
          <cell r="AE31">
            <v>15468.522747815239</v>
          </cell>
          <cell r="AG31">
            <v>0</v>
          </cell>
        </row>
        <row r="32">
          <cell r="A32">
            <v>3158</v>
          </cell>
          <cell r="B32" t="str">
            <v>Lord Deramore's Primary</v>
          </cell>
          <cell r="D32">
            <v>206</v>
          </cell>
          <cell r="E32">
            <v>817.82</v>
          </cell>
          <cell r="G32">
            <v>10.048780487804889</v>
          </cell>
          <cell r="H32">
            <v>238.85951219512219</v>
          </cell>
          <cell r="J32">
            <v>206</v>
          </cell>
          <cell r="K32">
            <v>743.66</v>
          </cell>
          <cell r="M32">
            <v>206</v>
          </cell>
          <cell r="N32">
            <v>978.5</v>
          </cell>
          <cell r="O32">
            <v>10.048780487804889</v>
          </cell>
          <cell r="P32">
            <v>397.73073170731749</v>
          </cell>
          <cell r="Q32">
            <v>27.229885057471261</v>
          </cell>
          <cell r="R32">
            <v>3461.7352873563214</v>
          </cell>
          <cell r="S32">
            <v>18.230088495575213</v>
          </cell>
          <cell r="T32">
            <v>477.08141592920339</v>
          </cell>
          <cell r="U32">
            <v>5315.0474349928418</v>
          </cell>
          <cell r="W32">
            <v>206</v>
          </cell>
          <cell r="X32">
            <v>636.54</v>
          </cell>
          <cell r="Y32">
            <v>10.048780487804889</v>
          </cell>
          <cell r="Z32">
            <v>517.81365853658588</v>
          </cell>
          <cell r="AA32">
            <v>18.230088495575213</v>
          </cell>
          <cell r="AB32">
            <v>621.09911504424747</v>
          </cell>
          <cell r="AC32">
            <v>1775.4527735808333</v>
          </cell>
          <cell r="AD32">
            <v>0</v>
          </cell>
          <cell r="AE32">
            <v>8890.8397207687976</v>
          </cell>
          <cell r="AG32">
            <v>0</v>
          </cell>
        </row>
        <row r="33">
          <cell r="A33">
            <v>3159</v>
          </cell>
          <cell r="B33" t="str">
            <v>Naburn CE Primary</v>
          </cell>
          <cell r="D33">
            <v>87</v>
          </cell>
          <cell r="E33">
            <v>345.39000000000004</v>
          </cell>
          <cell r="G33">
            <v>3.000000000000004</v>
          </cell>
          <cell r="H33">
            <v>71.310000000000088</v>
          </cell>
          <cell r="J33">
            <v>87</v>
          </cell>
          <cell r="K33">
            <v>314.07</v>
          </cell>
          <cell r="M33">
            <v>87</v>
          </cell>
          <cell r="N33">
            <v>413.25</v>
          </cell>
          <cell r="O33">
            <v>3.000000000000004</v>
          </cell>
          <cell r="P33">
            <v>118.74000000000015</v>
          </cell>
          <cell r="Q33">
            <v>3.48</v>
          </cell>
          <cell r="R33">
            <v>442.41239999999999</v>
          </cell>
          <cell r="S33">
            <v>12.957446808510642</v>
          </cell>
          <cell r="T33">
            <v>339.09638297872351</v>
          </cell>
          <cell r="U33">
            <v>1313.4987829787237</v>
          </cell>
          <cell r="W33">
            <v>87</v>
          </cell>
          <cell r="X33">
            <v>268.83</v>
          </cell>
          <cell r="Y33">
            <v>3.000000000000004</v>
          </cell>
          <cell r="Z33">
            <v>154.5900000000002</v>
          </cell>
          <cell r="AA33">
            <v>12.957446808510642</v>
          </cell>
          <cell r="AB33">
            <v>441.46021276595758</v>
          </cell>
          <cell r="AC33">
            <v>864.88021276595782</v>
          </cell>
          <cell r="AD33">
            <v>0</v>
          </cell>
          <cell r="AE33">
            <v>2909.148995744682</v>
          </cell>
          <cell r="AG33">
            <v>0</v>
          </cell>
        </row>
        <row r="34">
          <cell r="A34">
            <v>3901</v>
          </cell>
          <cell r="B34" t="str">
            <v>New Earswick Primary</v>
          </cell>
          <cell r="D34">
            <v>180</v>
          </cell>
          <cell r="E34">
            <v>714.6</v>
          </cell>
          <cell r="G34">
            <v>49.273743016759866</v>
          </cell>
          <cell r="H34">
            <v>1171.2368715083819</v>
          </cell>
          <cell r="J34">
            <v>180</v>
          </cell>
          <cell r="K34">
            <v>649.79999999999995</v>
          </cell>
          <cell r="M34">
            <v>180</v>
          </cell>
          <cell r="N34">
            <v>855</v>
          </cell>
          <cell r="O34">
            <v>49.273743016759866</v>
          </cell>
          <cell r="P34">
            <v>1950.2547486033554</v>
          </cell>
          <cell r="Q34">
            <v>0</v>
          </cell>
          <cell r="R34">
            <v>0</v>
          </cell>
          <cell r="S34">
            <v>23.99999999999994</v>
          </cell>
          <cell r="T34">
            <v>628.07999999999845</v>
          </cell>
          <cell r="U34">
            <v>3433.334748603354</v>
          </cell>
          <cell r="W34">
            <v>180</v>
          </cell>
          <cell r="X34">
            <v>556.19999999999993</v>
          </cell>
          <cell r="Y34">
            <v>49.273743016759866</v>
          </cell>
          <cell r="Z34">
            <v>2539.0759776536361</v>
          </cell>
          <cell r="AA34">
            <v>23.99999999999994</v>
          </cell>
          <cell r="AB34">
            <v>817.6799999999979</v>
          </cell>
          <cell r="AC34">
            <v>3912.9559776536339</v>
          </cell>
          <cell r="AD34">
            <v>0</v>
          </cell>
          <cell r="AE34">
            <v>9881.9275977653688</v>
          </cell>
          <cell r="AG34">
            <v>0</v>
          </cell>
        </row>
        <row r="35">
          <cell r="A35">
            <v>2176</v>
          </cell>
          <cell r="B35" t="str">
            <v>Osbaldwick Primary</v>
          </cell>
          <cell r="D35">
            <v>202</v>
          </cell>
          <cell r="E35">
            <v>801.94</v>
          </cell>
          <cell r="G35">
            <v>33.999999999999936</v>
          </cell>
          <cell r="H35">
            <v>808.17999999999847</v>
          </cell>
          <cell r="J35">
            <v>202</v>
          </cell>
          <cell r="K35">
            <v>729.22</v>
          </cell>
          <cell r="M35">
            <v>202</v>
          </cell>
          <cell r="N35">
            <v>959.5</v>
          </cell>
          <cell r="O35">
            <v>33.999999999999936</v>
          </cell>
          <cell r="P35">
            <v>1345.7199999999973</v>
          </cell>
          <cell r="Q35">
            <v>8.2209302325581497</v>
          </cell>
          <cell r="R35">
            <v>1045.1268604651175</v>
          </cell>
          <cell r="S35">
            <v>49.581818181818093</v>
          </cell>
          <cell r="T35">
            <v>1297.5561818181795</v>
          </cell>
          <cell r="U35">
            <v>4647.9030422832948</v>
          </cell>
          <cell r="W35">
            <v>202</v>
          </cell>
          <cell r="X35">
            <v>624.17999999999995</v>
          </cell>
          <cell r="Y35">
            <v>33.999999999999936</v>
          </cell>
          <cell r="Z35">
            <v>1752.0199999999968</v>
          </cell>
          <cell r="AA35">
            <v>49.581818181818093</v>
          </cell>
          <cell r="AB35">
            <v>1689.2525454545425</v>
          </cell>
          <cell r="AC35">
            <v>4065.4525454545392</v>
          </cell>
          <cell r="AD35">
            <v>0</v>
          </cell>
          <cell r="AE35">
            <v>11052.695587737831</v>
          </cell>
          <cell r="AG35">
            <v>0</v>
          </cell>
        </row>
        <row r="36">
          <cell r="A36">
            <v>3904</v>
          </cell>
          <cell r="B36" t="str">
            <v>Our Lady Queen Of Martyrs RC Primary</v>
          </cell>
          <cell r="D36">
            <v>404</v>
          </cell>
          <cell r="E36">
            <v>1603.88</v>
          </cell>
          <cell r="G36">
            <v>38.189054726368163</v>
          </cell>
          <cell r="H36">
            <v>907.75383084577118</v>
          </cell>
          <cell r="J36">
            <v>404</v>
          </cell>
          <cell r="K36">
            <v>1458.44</v>
          </cell>
          <cell r="M36">
            <v>404</v>
          </cell>
          <cell r="N36">
            <v>1919</v>
          </cell>
          <cell r="O36">
            <v>38.189054726368163</v>
          </cell>
          <cell r="P36">
            <v>1511.5227860696518</v>
          </cell>
          <cell r="Q36">
            <v>13.032258064516114</v>
          </cell>
          <cell r="R36">
            <v>1656.7909677419334</v>
          </cell>
          <cell r="S36">
            <v>37.210526315789458</v>
          </cell>
          <cell r="T36">
            <v>973.79947368421017</v>
          </cell>
          <cell r="U36">
            <v>6061.1132274957954</v>
          </cell>
          <cell r="W36">
            <v>404</v>
          </cell>
          <cell r="X36">
            <v>1248.3599999999999</v>
          </cell>
          <cell r="Y36">
            <v>38.189054726368163</v>
          </cell>
          <cell r="Z36">
            <v>1967.8819900497515</v>
          </cell>
          <cell r="AA36">
            <v>37.210526315789458</v>
          </cell>
          <cell r="AB36">
            <v>1267.7626315789469</v>
          </cell>
          <cell r="AC36">
            <v>4484.0046216286983</v>
          </cell>
          <cell r="AD36">
            <v>0</v>
          </cell>
          <cell r="AE36">
            <v>14515.191679970263</v>
          </cell>
          <cell r="AG36">
            <v>0</v>
          </cell>
        </row>
        <row r="37">
          <cell r="A37">
            <v>2012</v>
          </cell>
          <cell r="B37" t="str">
            <v>Park Grove Primary</v>
          </cell>
          <cell r="D37">
            <v>264</v>
          </cell>
          <cell r="E37">
            <v>1048.0800000000002</v>
          </cell>
          <cell r="G37">
            <v>24.275862068965505</v>
          </cell>
          <cell r="H37">
            <v>577.0372413793101</v>
          </cell>
          <cell r="J37">
            <v>264</v>
          </cell>
          <cell r="K37">
            <v>953.04</v>
          </cell>
          <cell r="M37">
            <v>264</v>
          </cell>
          <cell r="N37">
            <v>1254</v>
          </cell>
          <cell r="O37">
            <v>24.275862068965505</v>
          </cell>
          <cell r="P37">
            <v>960.8386206896547</v>
          </cell>
          <cell r="Q37">
            <v>15.321428571428577</v>
          </cell>
          <cell r="R37">
            <v>1947.8132142857148</v>
          </cell>
          <cell r="S37">
            <v>84.5625</v>
          </cell>
          <cell r="T37">
            <v>2213.0006250000001</v>
          </cell>
          <cell r="U37">
            <v>6375.6524599753702</v>
          </cell>
          <cell r="W37">
            <v>264</v>
          </cell>
          <cell r="X37">
            <v>815.76</v>
          </cell>
          <cell r="Y37">
            <v>24.275862068965505</v>
          </cell>
          <cell r="Z37">
            <v>1250.9351724137925</v>
          </cell>
          <cell r="AA37">
            <v>84.5625</v>
          </cell>
          <cell r="AB37">
            <v>2881.0443749999999</v>
          </cell>
          <cell r="AC37">
            <v>4947.739547413792</v>
          </cell>
          <cell r="AD37">
            <v>0</v>
          </cell>
          <cell r="AE37">
            <v>13901.549248768471</v>
          </cell>
          <cell r="AG37">
            <v>0</v>
          </cell>
        </row>
        <row r="38">
          <cell r="A38">
            <v>2029</v>
          </cell>
          <cell r="B38" t="str">
            <v>Poppleton Ousebank Primary</v>
          </cell>
          <cell r="D38">
            <v>419</v>
          </cell>
          <cell r="E38">
            <v>1663.43</v>
          </cell>
          <cell r="G38">
            <v>16.000000000000014</v>
          </cell>
          <cell r="H38">
            <v>380.32000000000033</v>
          </cell>
          <cell r="J38">
            <v>419</v>
          </cell>
          <cell r="K38">
            <v>1512.59</v>
          </cell>
          <cell r="M38">
            <v>419</v>
          </cell>
          <cell r="N38">
            <v>1990.25</v>
          </cell>
          <cell r="O38">
            <v>16.000000000000014</v>
          </cell>
          <cell r="P38">
            <v>633.28000000000054</v>
          </cell>
          <cell r="Q38">
            <v>7.1420454545454355</v>
          </cell>
          <cell r="R38">
            <v>907.96823863636121</v>
          </cell>
          <cell r="S38">
            <v>11.02631578947368</v>
          </cell>
          <cell r="T38">
            <v>288.55868421052622</v>
          </cell>
          <cell r="U38">
            <v>3820.056922846888</v>
          </cell>
          <cell r="W38">
            <v>419</v>
          </cell>
          <cell r="X38">
            <v>1294.71</v>
          </cell>
          <cell r="Y38">
            <v>16.000000000000014</v>
          </cell>
          <cell r="Z38">
            <v>824.4800000000007</v>
          </cell>
          <cell r="AA38">
            <v>11.02631578947368</v>
          </cell>
          <cell r="AB38">
            <v>375.66657894736829</v>
          </cell>
          <cell r="AC38">
            <v>2494.8565789473687</v>
          </cell>
          <cell r="AD38">
            <v>0</v>
          </cell>
          <cell r="AE38">
            <v>9871.2535017942573</v>
          </cell>
          <cell r="AG38">
            <v>0</v>
          </cell>
        </row>
        <row r="39">
          <cell r="A39">
            <v>2014</v>
          </cell>
          <cell r="B39" t="str">
            <v>Poppleton Road Primary</v>
          </cell>
          <cell r="D39">
            <v>384</v>
          </cell>
          <cell r="E39">
            <v>1524.48</v>
          </cell>
          <cell r="G39">
            <v>48</v>
          </cell>
          <cell r="H39">
            <v>1140.96</v>
          </cell>
          <cell r="J39">
            <v>384</v>
          </cell>
          <cell r="K39">
            <v>1386.24</v>
          </cell>
          <cell r="M39">
            <v>384</v>
          </cell>
          <cell r="N39">
            <v>1824</v>
          </cell>
          <cell r="O39">
            <v>48</v>
          </cell>
          <cell r="P39">
            <v>1899.84</v>
          </cell>
          <cell r="Q39">
            <v>1.1815384615384628</v>
          </cell>
          <cell r="R39">
            <v>150.20898461538476</v>
          </cell>
          <cell r="S39">
            <v>73.386666666666628</v>
          </cell>
          <cell r="T39">
            <v>1920.5290666666658</v>
          </cell>
          <cell r="U39">
            <v>5794.5780512820511</v>
          </cell>
          <cell r="W39">
            <v>384</v>
          </cell>
          <cell r="X39">
            <v>1186.56</v>
          </cell>
          <cell r="Y39">
            <v>48</v>
          </cell>
          <cell r="Z39">
            <v>2473.44</v>
          </cell>
          <cell r="AA39">
            <v>73.386666666666628</v>
          </cell>
          <cell r="AB39">
            <v>2500.2837333333318</v>
          </cell>
          <cell r="AC39">
            <v>6160.2837333333318</v>
          </cell>
          <cell r="AD39">
            <v>0</v>
          </cell>
          <cell r="AE39">
            <v>16006.541784615383</v>
          </cell>
          <cell r="AG39">
            <v>0</v>
          </cell>
        </row>
        <row r="40">
          <cell r="A40">
            <v>2058</v>
          </cell>
          <cell r="B40" t="str">
            <v>Ralph Butterfield Primary</v>
          </cell>
          <cell r="D40">
            <v>311</v>
          </cell>
          <cell r="E40">
            <v>1234.67</v>
          </cell>
          <cell r="G40">
            <v>10.032258064516117</v>
          </cell>
          <cell r="H40">
            <v>238.4667741935481</v>
          </cell>
          <cell r="J40">
            <v>311</v>
          </cell>
          <cell r="K40">
            <v>1122.71</v>
          </cell>
          <cell r="M40">
            <v>311</v>
          </cell>
          <cell r="N40">
            <v>1477.25</v>
          </cell>
          <cell r="O40">
            <v>10.032258064516117</v>
          </cell>
          <cell r="P40">
            <v>397.07677419354792</v>
          </cell>
          <cell r="Q40">
            <v>3.5340909090909207</v>
          </cell>
          <cell r="R40">
            <v>449.28897727272874</v>
          </cell>
          <cell r="S40">
            <v>19.3276836158192</v>
          </cell>
          <cell r="T40">
            <v>505.8054802259885</v>
          </cell>
          <cell r="U40">
            <v>2829.4212316922649</v>
          </cell>
          <cell r="W40">
            <v>311</v>
          </cell>
          <cell r="X40">
            <v>960.99</v>
          </cell>
          <cell r="Y40">
            <v>10.032258064516117</v>
          </cell>
          <cell r="Z40">
            <v>516.96225806451559</v>
          </cell>
          <cell r="AA40">
            <v>19.3276836158192</v>
          </cell>
          <cell r="AB40">
            <v>658.49418079096017</v>
          </cell>
          <cell r="AC40">
            <v>2136.4464388554761</v>
          </cell>
          <cell r="AD40">
            <v>0</v>
          </cell>
          <cell r="AE40">
            <v>7561.7144447412893</v>
          </cell>
          <cell r="AG40">
            <v>0</v>
          </cell>
        </row>
        <row r="41">
          <cell r="A41">
            <v>3212</v>
          </cell>
          <cell r="B41" t="str">
            <v>Robert Wilkinson Primary</v>
          </cell>
          <cell r="D41">
            <v>576</v>
          </cell>
          <cell r="E41">
            <v>2286.7200000000003</v>
          </cell>
          <cell r="G41">
            <v>19.999999999999989</v>
          </cell>
          <cell r="H41">
            <v>475.39999999999975</v>
          </cell>
          <cell r="J41">
            <v>576</v>
          </cell>
          <cell r="K41">
            <v>2079.36</v>
          </cell>
          <cell r="M41">
            <v>576</v>
          </cell>
          <cell r="N41">
            <v>2736</v>
          </cell>
          <cell r="O41">
            <v>19.999999999999989</v>
          </cell>
          <cell r="P41">
            <v>791.59999999999957</v>
          </cell>
          <cell r="Q41">
            <v>8.2118126272912715</v>
          </cell>
          <cell r="R41">
            <v>1043.9677393075392</v>
          </cell>
          <cell r="S41">
            <v>98.080495356037247</v>
          </cell>
          <cell r="T41">
            <v>2566.766563467495</v>
          </cell>
          <cell r="U41">
            <v>7138.3343027750334</v>
          </cell>
          <cell r="W41">
            <v>576</v>
          </cell>
          <cell r="X41">
            <v>1779.84</v>
          </cell>
          <cell r="Y41">
            <v>19.999999999999989</v>
          </cell>
          <cell r="Z41">
            <v>1030.5999999999995</v>
          </cell>
          <cell r="AA41">
            <v>98.080495356037247</v>
          </cell>
          <cell r="AB41">
            <v>3341.6024767801891</v>
          </cell>
          <cell r="AC41">
            <v>6152.0424767801887</v>
          </cell>
          <cell r="AD41">
            <v>0</v>
          </cell>
          <cell r="AE41">
            <v>18131.856779555223</v>
          </cell>
          <cell r="AG41">
            <v>0</v>
          </cell>
        </row>
        <row r="42">
          <cell r="A42">
            <v>2349</v>
          </cell>
          <cell r="B42" t="str">
            <v>Rufforth Primary</v>
          </cell>
          <cell r="D42">
            <v>71</v>
          </cell>
          <cell r="E42">
            <v>281.87</v>
          </cell>
          <cell r="G42">
            <v>4.0000000000000009</v>
          </cell>
          <cell r="H42">
            <v>95.080000000000013</v>
          </cell>
          <cell r="J42">
            <v>71</v>
          </cell>
          <cell r="K42">
            <v>256.31</v>
          </cell>
          <cell r="M42">
            <v>71</v>
          </cell>
          <cell r="N42">
            <v>337.25</v>
          </cell>
          <cell r="O42">
            <v>4.0000000000000009</v>
          </cell>
          <cell r="P42">
            <v>158.32000000000002</v>
          </cell>
          <cell r="Q42">
            <v>0</v>
          </cell>
          <cell r="R42">
            <v>0</v>
          </cell>
          <cell r="S42">
            <v>3.6410256410256423</v>
          </cell>
          <cell r="T42">
            <v>95.28564102564107</v>
          </cell>
          <cell r="U42">
            <v>590.85564102564115</v>
          </cell>
          <cell r="W42">
            <v>71</v>
          </cell>
          <cell r="X42">
            <v>219.39</v>
          </cell>
          <cell r="Y42">
            <v>4.0000000000000009</v>
          </cell>
          <cell r="Z42">
            <v>206.12000000000006</v>
          </cell>
          <cell r="AA42">
            <v>3.6410256410256423</v>
          </cell>
          <cell r="AB42">
            <v>124.04974358974363</v>
          </cell>
          <cell r="AC42">
            <v>549.55974358974368</v>
          </cell>
          <cell r="AD42">
            <v>0</v>
          </cell>
          <cell r="AE42">
            <v>1773.6753846153849</v>
          </cell>
          <cell r="AG42">
            <v>0</v>
          </cell>
        </row>
        <row r="43">
          <cell r="A43">
            <v>2016</v>
          </cell>
          <cell r="B43" t="str">
            <v>Scarcroft Primary</v>
          </cell>
          <cell r="D43">
            <v>323</v>
          </cell>
          <cell r="E43">
            <v>1282.3100000000002</v>
          </cell>
          <cell r="G43">
            <v>37.999999999999865</v>
          </cell>
          <cell r="H43">
            <v>903.25999999999681</v>
          </cell>
          <cell r="J43">
            <v>323</v>
          </cell>
          <cell r="K43">
            <v>1166.03</v>
          </cell>
          <cell r="M43">
            <v>323</v>
          </cell>
          <cell r="N43">
            <v>1534.25</v>
          </cell>
          <cell r="O43">
            <v>37.999999999999865</v>
          </cell>
          <cell r="P43">
            <v>1504.0399999999945</v>
          </cell>
          <cell r="Q43">
            <v>10.494584837545135</v>
          </cell>
          <cell r="R43">
            <v>1334.176570397113</v>
          </cell>
          <cell r="S43">
            <v>65.636363636363754</v>
          </cell>
          <cell r="T43">
            <v>1717.7036363636396</v>
          </cell>
          <cell r="U43">
            <v>6090.1702067607475</v>
          </cell>
          <cell r="W43">
            <v>323</v>
          </cell>
          <cell r="X43">
            <v>998.06999999999994</v>
          </cell>
          <cell r="Y43">
            <v>37.999999999999865</v>
          </cell>
          <cell r="Z43">
            <v>1958.1399999999931</v>
          </cell>
          <cell r="AA43">
            <v>65.636363636363754</v>
          </cell>
          <cell r="AB43">
            <v>2236.230909090913</v>
          </cell>
          <cell r="AC43">
            <v>5192.4409090909057</v>
          </cell>
          <cell r="AD43">
            <v>0</v>
          </cell>
          <cell r="AE43">
            <v>14634.211115851649</v>
          </cell>
          <cell r="AG43">
            <v>0</v>
          </cell>
        </row>
        <row r="44">
          <cell r="A44">
            <v>2169</v>
          </cell>
          <cell r="B44" t="str">
            <v>Skelton Primary</v>
          </cell>
          <cell r="D44">
            <v>103</v>
          </cell>
          <cell r="E44">
            <v>408.91</v>
          </cell>
          <cell r="G44">
            <v>16.000000000000028</v>
          </cell>
          <cell r="H44">
            <v>380.32000000000068</v>
          </cell>
          <cell r="J44">
            <v>103</v>
          </cell>
          <cell r="K44">
            <v>371.83</v>
          </cell>
          <cell r="M44">
            <v>103</v>
          </cell>
          <cell r="N44">
            <v>489.25</v>
          </cell>
          <cell r="O44">
            <v>16.000000000000028</v>
          </cell>
          <cell r="P44">
            <v>633.28000000000111</v>
          </cell>
          <cell r="Q44">
            <v>0</v>
          </cell>
          <cell r="R44">
            <v>0</v>
          </cell>
          <cell r="S44">
            <v>14.714285714285728</v>
          </cell>
          <cell r="T44">
            <v>385.07285714285752</v>
          </cell>
          <cell r="U44">
            <v>1507.6028571428587</v>
          </cell>
          <cell r="W44">
            <v>103</v>
          </cell>
          <cell r="X44">
            <v>318.27</v>
          </cell>
          <cell r="Y44">
            <v>16.000000000000028</v>
          </cell>
          <cell r="Z44">
            <v>824.4800000000015</v>
          </cell>
          <cell r="AA44">
            <v>14.714285714285728</v>
          </cell>
          <cell r="AB44">
            <v>501.31571428571476</v>
          </cell>
          <cell r="AC44">
            <v>1644.0657142857162</v>
          </cell>
          <cell r="AD44">
            <v>0</v>
          </cell>
          <cell r="AE44">
            <v>4312.7285714285754</v>
          </cell>
          <cell r="AG44">
            <v>0</v>
          </cell>
        </row>
        <row r="45">
          <cell r="A45">
            <v>3401</v>
          </cell>
          <cell r="B45" t="str">
            <v>St. Aelred's RC Primary</v>
          </cell>
          <cell r="D45">
            <v>189</v>
          </cell>
          <cell r="E45">
            <v>750.33</v>
          </cell>
          <cell r="G45">
            <v>40.000000000000064</v>
          </cell>
          <cell r="H45">
            <v>950.80000000000155</v>
          </cell>
          <cell r="J45">
            <v>189</v>
          </cell>
          <cell r="K45">
            <v>682.29</v>
          </cell>
          <cell r="M45">
            <v>189</v>
          </cell>
          <cell r="N45">
            <v>897.75</v>
          </cell>
          <cell r="O45">
            <v>40.000000000000064</v>
          </cell>
          <cell r="P45">
            <v>1583.2000000000025</v>
          </cell>
          <cell r="Q45">
            <v>1.188679245283019</v>
          </cell>
          <cell r="R45">
            <v>151.1167924528302</v>
          </cell>
          <cell r="S45">
            <v>34.864077669902969</v>
          </cell>
          <cell r="T45">
            <v>912.39291262136078</v>
          </cell>
          <cell r="U45">
            <v>3544.4597050741936</v>
          </cell>
          <cell r="W45">
            <v>189</v>
          </cell>
          <cell r="X45">
            <v>584.01</v>
          </cell>
          <cell r="Y45">
            <v>40.000000000000064</v>
          </cell>
          <cell r="Z45">
            <v>2061.2000000000035</v>
          </cell>
          <cell r="AA45">
            <v>34.864077669902969</v>
          </cell>
          <cell r="AB45">
            <v>1187.8191262135942</v>
          </cell>
          <cell r="AC45">
            <v>3833.0291262135979</v>
          </cell>
          <cell r="AD45">
            <v>0</v>
          </cell>
          <cell r="AE45">
            <v>9760.9088312877939</v>
          </cell>
          <cell r="AG45">
            <v>0</v>
          </cell>
        </row>
        <row r="46">
          <cell r="A46">
            <v>3002</v>
          </cell>
          <cell r="B46" t="str">
            <v>St. Barnabas' CE Primary</v>
          </cell>
          <cell r="D46">
            <v>146</v>
          </cell>
          <cell r="E46">
            <v>579.62</v>
          </cell>
          <cell r="G46">
            <v>23.158620689655113</v>
          </cell>
          <cell r="H46">
            <v>550.480413793102</v>
          </cell>
          <cell r="J46">
            <v>146</v>
          </cell>
          <cell r="K46">
            <v>527.05999999999995</v>
          </cell>
          <cell r="M46">
            <v>146</v>
          </cell>
          <cell r="N46">
            <v>693.5</v>
          </cell>
          <cell r="O46">
            <v>23.158620689655113</v>
          </cell>
          <cell r="P46">
            <v>916.61820689654928</v>
          </cell>
          <cell r="Q46">
            <v>11.7741935483871</v>
          </cell>
          <cell r="R46">
            <v>1496.853225806452</v>
          </cell>
          <cell r="S46">
            <v>41.477272727272712</v>
          </cell>
          <cell r="T46">
            <v>1085.460227272727</v>
          </cell>
          <cell r="U46">
            <v>4192.4316599757285</v>
          </cell>
          <cell r="W46">
            <v>146</v>
          </cell>
          <cell r="X46">
            <v>451.14</v>
          </cell>
          <cell r="Y46">
            <v>23.158620689655113</v>
          </cell>
          <cell r="Z46">
            <v>1193.3637241379279</v>
          </cell>
          <cell r="AA46">
            <v>41.477272727272712</v>
          </cell>
          <cell r="AB46">
            <v>1413.1306818181813</v>
          </cell>
          <cell r="AC46">
            <v>3057.6344059561088</v>
          </cell>
          <cell r="AD46">
            <v>0</v>
          </cell>
          <cell r="AE46">
            <v>8907.2264797249391</v>
          </cell>
          <cell r="AG46">
            <v>0</v>
          </cell>
        </row>
        <row r="47">
          <cell r="A47">
            <v>3402</v>
          </cell>
          <cell r="B47" t="str">
            <v>St. George's RC Primary</v>
          </cell>
          <cell r="D47">
            <v>178</v>
          </cell>
          <cell r="E47">
            <v>706.66000000000008</v>
          </cell>
          <cell r="G47">
            <v>30.340909090909008</v>
          </cell>
          <cell r="H47">
            <v>721.20340909090714</v>
          </cell>
          <cell r="J47">
            <v>178</v>
          </cell>
          <cell r="K47">
            <v>642.57999999999993</v>
          </cell>
          <cell r="M47">
            <v>178</v>
          </cell>
          <cell r="N47">
            <v>845.5</v>
          </cell>
          <cell r="O47">
            <v>30.340909090909008</v>
          </cell>
          <cell r="P47">
            <v>1200.8931818181784</v>
          </cell>
          <cell r="Q47">
            <v>35.831168831168782</v>
          </cell>
          <cell r="R47">
            <v>4555.2164935064875</v>
          </cell>
          <cell r="S47">
            <v>49.234042553191479</v>
          </cell>
          <cell r="T47">
            <v>1288.4548936170211</v>
          </cell>
          <cell r="U47">
            <v>7890.064568941687</v>
          </cell>
          <cell r="W47">
            <v>178</v>
          </cell>
          <cell r="X47">
            <v>550.02</v>
          </cell>
          <cell r="Y47">
            <v>30.340909090909008</v>
          </cell>
          <cell r="Z47">
            <v>1563.4670454545412</v>
          </cell>
          <cell r="AA47">
            <v>49.234042553191479</v>
          </cell>
          <cell r="AB47">
            <v>1677.4038297872337</v>
          </cell>
          <cell r="AC47">
            <v>3790.8908752417747</v>
          </cell>
          <cell r="AD47">
            <v>0</v>
          </cell>
          <cell r="AE47">
            <v>13751.398853274368</v>
          </cell>
          <cell r="AG47">
            <v>0</v>
          </cell>
        </row>
        <row r="48">
          <cell r="A48">
            <v>3305</v>
          </cell>
          <cell r="B48" t="str">
            <v>St. Lawrence's CE Primary</v>
          </cell>
          <cell r="D48">
            <v>188</v>
          </cell>
          <cell r="E48">
            <v>746.36</v>
          </cell>
          <cell r="G48">
            <v>50.000000000000071</v>
          </cell>
          <cell r="H48">
            <v>1188.5000000000016</v>
          </cell>
          <cell r="J48">
            <v>188</v>
          </cell>
          <cell r="K48">
            <v>678.68</v>
          </cell>
          <cell r="M48">
            <v>188</v>
          </cell>
          <cell r="N48">
            <v>893</v>
          </cell>
          <cell r="O48">
            <v>50.000000000000071</v>
          </cell>
          <cell r="P48">
            <v>1979.0000000000027</v>
          </cell>
          <cell r="Q48">
            <v>26.177215189873433</v>
          </cell>
          <cell r="R48">
            <v>3327.9093670886095</v>
          </cell>
          <cell r="S48">
            <v>55.504761904761864</v>
          </cell>
          <cell r="T48">
            <v>1452.5596190476181</v>
          </cell>
          <cell r="U48">
            <v>7652.4689861362303</v>
          </cell>
          <cell r="W48">
            <v>188</v>
          </cell>
          <cell r="X48">
            <v>580.91999999999996</v>
          </cell>
          <cell r="Y48">
            <v>50.000000000000071</v>
          </cell>
          <cell r="Z48">
            <v>2576.5000000000036</v>
          </cell>
          <cell r="AA48">
            <v>55.504761904761864</v>
          </cell>
          <cell r="AB48">
            <v>1891.0472380952367</v>
          </cell>
          <cell r="AC48">
            <v>5048.4672380952406</v>
          </cell>
          <cell r="AD48">
            <v>0</v>
          </cell>
          <cell r="AE48">
            <v>15314.476224231472</v>
          </cell>
          <cell r="AG48">
            <v>0</v>
          </cell>
        </row>
        <row r="49">
          <cell r="A49">
            <v>3222</v>
          </cell>
          <cell r="B49" t="str">
            <v>St. Mary's CE Primary</v>
          </cell>
          <cell r="D49">
            <v>106</v>
          </cell>
          <cell r="E49">
            <v>420.82</v>
          </cell>
          <cell r="G49">
            <v>2.9999999999999969</v>
          </cell>
          <cell r="H49">
            <v>71.309999999999931</v>
          </cell>
          <cell r="J49">
            <v>106</v>
          </cell>
          <cell r="K49">
            <v>382.65999999999997</v>
          </cell>
          <cell r="M49">
            <v>106</v>
          </cell>
          <cell r="N49">
            <v>503.5</v>
          </cell>
          <cell r="O49">
            <v>2.9999999999999969</v>
          </cell>
          <cell r="P49">
            <v>118.73999999999987</v>
          </cell>
          <cell r="Q49">
            <v>0</v>
          </cell>
          <cell r="R49">
            <v>0</v>
          </cell>
          <cell r="S49">
            <v>14.372881355932197</v>
          </cell>
          <cell r="T49">
            <v>376.13830508474564</v>
          </cell>
          <cell r="U49">
            <v>998.37830508474553</v>
          </cell>
          <cell r="W49">
            <v>106</v>
          </cell>
          <cell r="X49">
            <v>327.53999999999996</v>
          </cell>
          <cell r="Y49">
            <v>2.9999999999999969</v>
          </cell>
          <cell r="Z49">
            <v>154.58999999999983</v>
          </cell>
          <cell r="AA49">
            <v>14.372881355932197</v>
          </cell>
          <cell r="AB49">
            <v>489.68406779660995</v>
          </cell>
          <cell r="AC49">
            <v>971.81406779660972</v>
          </cell>
          <cell r="AD49">
            <v>0</v>
          </cell>
          <cell r="AE49">
            <v>2844.9823728813553</v>
          </cell>
          <cell r="AG49">
            <v>0</v>
          </cell>
        </row>
        <row r="50">
          <cell r="A50">
            <v>3156</v>
          </cell>
          <cell r="B50" t="str">
            <v>St. Oswald's CE Primary</v>
          </cell>
          <cell r="D50">
            <v>281</v>
          </cell>
          <cell r="E50">
            <v>1115.5700000000002</v>
          </cell>
          <cell r="G50">
            <v>16.415807560137459</v>
          </cell>
          <cell r="H50">
            <v>390.20374570446739</v>
          </cell>
          <cell r="J50">
            <v>281</v>
          </cell>
          <cell r="K50">
            <v>1014.41</v>
          </cell>
          <cell r="M50">
            <v>281</v>
          </cell>
          <cell r="N50">
            <v>1334.75</v>
          </cell>
          <cell r="O50">
            <v>16.415807560137459</v>
          </cell>
          <cell r="P50">
            <v>649.73766323024063</v>
          </cell>
          <cell r="Q50">
            <v>23.794354838709676</v>
          </cell>
          <cell r="R50">
            <v>3024.9763306451609</v>
          </cell>
          <cell r="S50">
            <v>48.384105960264861</v>
          </cell>
          <cell r="T50">
            <v>1266.2120529801316</v>
          </cell>
          <cell r="U50">
            <v>6275.6760468555331</v>
          </cell>
          <cell r="W50">
            <v>281</v>
          </cell>
          <cell r="X50">
            <v>868.29</v>
          </cell>
          <cell r="Y50">
            <v>16.415807560137459</v>
          </cell>
          <cell r="Z50">
            <v>845.90656357388332</v>
          </cell>
          <cell r="AA50">
            <v>48.384105960264861</v>
          </cell>
          <cell r="AB50">
            <v>1648.4464900662238</v>
          </cell>
          <cell r="AC50">
            <v>3362.6430536401072</v>
          </cell>
          <cell r="AD50">
            <v>0</v>
          </cell>
          <cell r="AE50">
            <v>12158.502846200108</v>
          </cell>
          <cell r="AG50">
            <v>0</v>
          </cell>
        </row>
        <row r="51">
          <cell r="A51">
            <v>3003</v>
          </cell>
          <cell r="B51" t="str">
            <v>St. Paul's CE Primary</v>
          </cell>
          <cell r="D51">
            <v>166</v>
          </cell>
          <cell r="E51">
            <v>659.02</v>
          </cell>
          <cell r="G51">
            <v>4.9999999999999929</v>
          </cell>
          <cell r="H51">
            <v>118.84999999999982</v>
          </cell>
          <cell r="J51">
            <v>166</v>
          </cell>
          <cell r="K51">
            <v>599.26</v>
          </cell>
          <cell r="M51">
            <v>166</v>
          </cell>
          <cell r="N51">
            <v>788.5</v>
          </cell>
          <cell r="O51">
            <v>4.9999999999999929</v>
          </cell>
          <cell r="P51">
            <v>197.89999999999972</v>
          </cell>
          <cell r="Q51">
            <v>2.3546099290780198</v>
          </cell>
          <cell r="R51">
            <v>299.34156028368864</v>
          </cell>
          <cell r="S51">
            <v>9.1208791208791133</v>
          </cell>
          <cell r="T51">
            <v>238.69340659340642</v>
          </cell>
          <cell r="U51">
            <v>1524.4349668770949</v>
          </cell>
          <cell r="W51">
            <v>166</v>
          </cell>
          <cell r="X51">
            <v>512.93999999999994</v>
          </cell>
          <cell r="Y51">
            <v>4.9999999999999929</v>
          </cell>
          <cell r="Z51">
            <v>257.64999999999964</v>
          </cell>
          <cell r="AA51">
            <v>9.1208791208791133</v>
          </cell>
          <cell r="AB51">
            <v>310.74835164835139</v>
          </cell>
          <cell r="AC51">
            <v>1081.3383516483509</v>
          </cell>
          <cell r="AD51">
            <v>0</v>
          </cell>
          <cell r="AE51">
            <v>3982.9033185254457</v>
          </cell>
          <cell r="AG51">
            <v>0</v>
          </cell>
        </row>
        <row r="52">
          <cell r="A52">
            <v>3403</v>
          </cell>
          <cell r="B52" t="str">
            <v>St. Wilfrid's RC Primary</v>
          </cell>
          <cell r="D52">
            <v>263</v>
          </cell>
          <cell r="E52">
            <v>1044.1100000000001</v>
          </cell>
          <cell r="G52">
            <v>22.999999999999993</v>
          </cell>
          <cell r="H52">
            <v>546.70999999999981</v>
          </cell>
          <cell r="J52">
            <v>263</v>
          </cell>
          <cell r="K52">
            <v>949.43</v>
          </cell>
          <cell r="M52">
            <v>263</v>
          </cell>
          <cell r="N52">
            <v>1249.25</v>
          </cell>
          <cell r="O52">
            <v>22.999999999999993</v>
          </cell>
          <cell r="P52">
            <v>910.33999999999969</v>
          </cell>
          <cell r="Q52">
            <v>23.377777777777784</v>
          </cell>
          <cell r="R52">
            <v>2972.0168888888893</v>
          </cell>
          <cell r="S52">
            <v>53.99337748344368</v>
          </cell>
          <cell r="T52">
            <v>1413.0066887417213</v>
          </cell>
          <cell r="U52">
            <v>6544.613577630611</v>
          </cell>
          <cell r="W52">
            <v>263</v>
          </cell>
          <cell r="X52">
            <v>812.67</v>
          </cell>
          <cell r="Y52">
            <v>22.999999999999993</v>
          </cell>
          <cell r="Z52">
            <v>1185.1899999999996</v>
          </cell>
          <cell r="AA52">
            <v>53.99337748344368</v>
          </cell>
          <cell r="AB52">
            <v>1839.5543708609262</v>
          </cell>
          <cell r="AC52">
            <v>3837.4143708609258</v>
          </cell>
          <cell r="AD52">
            <v>0</v>
          </cell>
          <cell r="AE52">
            <v>12922.277948491537</v>
          </cell>
          <cell r="AG52">
            <v>0</v>
          </cell>
        </row>
        <row r="53">
          <cell r="A53">
            <v>2227</v>
          </cell>
          <cell r="B53" t="str">
            <v>Stockton on the Forest Primary</v>
          </cell>
          <cell r="D53">
            <v>70</v>
          </cell>
          <cell r="E53">
            <v>277.90000000000003</v>
          </cell>
          <cell r="G53">
            <v>3.9999999999999969</v>
          </cell>
          <cell r="H53">
            <v>95.079999999999927</v>
          </cell>
          <cell r="J53">
            <v>70</v>
          </cell>
          <cell r="K53">
            <v>252.7</v>
          </cell>
          <cell r="M53">
            <v>70</v>
          </cell>
          <cell r="N53">
            <v>332.5</v>
          </cell>
          <cell r="O53">
            <v>3.9999999999999969</v>
          </cell>
          <cell r="P53">
            <v>158.31999999999988</v>
          </cell>
          <cell r="Q53">
            <v>0</v>
          </cell>
          <cell r="R53">
            <v>0</v>
          </cell>
          <cell r="S53">
            <v>17.906976744186039</v>
          </cell>
          <cell r="T53">
            <v>468.62558139534866</v>
          </cell>
          <cell r="U53">
            <v>959.44558139534854</v>
          </cell>
          <cell r="W53">
            <v>70</v>
          </cell>
          <cell r="X53">
            <v>216.29999999999998</v>
          </cell>
          <cell r="Y53">
            <v>3.9999999999999969</v>
          </cell>
          <cell r="Z53">
            <v>206.11999999999983</v>
          </cell>
          <cell r="AA53">
            <v>17.906976744186039</v>
          </cell>
          <cell r="AB53">
            <v>610.09069767441838</v>
          </cell>
          <cell r="AC53">
            <v>1032.5106976744182</v>
          </cell>
          <cell r="AD53">
            <v>0</v>
          </cell>
          <cell r="AE53">
            <v>2617.6362790697667</v>
          </cell>
          <cell r="AG53">
            <v>0</v>
          </cell>
        </row>
        <row r="54">
          <cell r="A54">
            <v>2429</v>
          </cell>
          <cell r="B54" t="str">
            <v>Tang Hall Primary</v>
          </cell>
          <cell r="D54">
            <v>138</v>
          </cell>
          <cell r="E54">
            <v>547.86</v>
          </cell>
          <cell r="G54">
            <v>59</v>
          </cell>
          <cell r="H54">
            <v>1402.43</v>
          </cell>
          <cell r="J54">
            <v>138</v>
          </cell>
          <cell r="K54">
            <v>498.18</v>
          </cell>
          <cell r="M54">
            <v>138</v>
          </cell>
          <cell r="N54">
            <v>655.5</v>
          </cell>
          <cell r="O54">
            <v>59</v>
          </cell>
          <cell r="P54">
            <v>2335.2199999999998</v>
          </cell>
          <cell r="Q54">
            <v>7.4594594594594659</v>
          </cell>
          <cell r="R54">
            <v>948.32108108108184</v>
          </cell>
          <cell r="S54">
            <v>42.000000000000064</v>
          </cell>
          <cell r="T54">
            <v>1099.1400000000017</v>
          </cell>
          <cell r="U54">
            <v>5038.1810810810839</v>
          </cell>
          <cell r="W54">
            <v>138</v>
          </cell>
          <cell r="X54">
            <v>426.41999999999996</v>
          </cell>
          <cell r="Y54">
            <v>59</v>
          </cell>
          <cell r="Z54">
            <v>3040.27</v>
          </cell>
          <cell r="AA54">
            <v>42.000000000000064</v>
          </cell>
          <cell r="AB54">
            <v>1430.9400000000021</v>
          </cell>
          <cell r="AC54">
            <v>4897.6300000000019</v>
          </cell>
          <cell r="AD54">
            <v>0</v>
          </cell>
          <cell r="AE54">
            <v>12384.281081081084</v>
          </cell>
          <cell r="AG54">
            <v>0</v>
          </cell>
        </row>
        <row r="55">
          <cell r="A55">
            <v>2017</v>
          </cell>
          <cell r="B55" t="str">
            <v>Westfield Primary</v>
          </cell>
          <cell r="D55">
            <v>491</v>
          </cell>
          <cell r="E55">
            <v>1949.2700000000002</v>
          </cell>
          <cell r="G55">
            <v>124.00000000000026</v>
          </cell>
          <cell r="H55">
            <v>2947.4800000000059</v>
          </cell>
          <cell r="J55">
            <v>491</v>
          </cell>
          <cell r="K55">
            <v>1772.51</v>
          </cell>
          <cell r="M55">
            <v>491</v>
          </cell>
          <cell r="N55">
            <v>2332.25</v>
          </cell>
          <cell r="O55">
            <v>124.00000000000026</v>
          </cell>
          <cell r="P55">
            <v>4907.9200000000101</v>
          </cell>
          <cell r="Q55">
            <v>3.5071428571428558</v>
          </cell>
          <cell r="R55">
            <v>445.86307142857123</v>
          </cell>
          <cell r="S55">
            <v>230.57094594594616</v>
          </cell>
          <cell r="T55">
            <v>6034.0416554054118</v>
          </cell>
          <cell r="U55">
            <v>13720.074726833993</v>
          </cell>
          <cell r="W55">
            <v>491</v>
          </cell>
          <cell r="X55">
            <v>1517.1899999999998</v>
          </cell>
          <cell r="Y55">
            <v>124.00000000000026</v>
          </cell>
          <cell r="Z55">
            <v>6389.720000000013</v>
          </cell>
          <cell r="AA55">
            <v>230.57094594594616</v>
          </cell>
          <cell r="AB55">
            <v>7855.5521283783855</v>
          </cell>
          <cell r="AC55">
            <v>15762.462128378398</v>
          </cell>
          <cell r="AD55">
            <v>0</v>
          </cell>
          <cell r="AE55">
            <v>36151.7968552124</v>
          </cell>
          <cell r="AG55">
            <v>0</v>
          </cell>
        </row>
        <row r="56">
          <cell r="A56">
            <v>3380</v>
          </cell>
          <cell r="B56" t="str">
            <v>Wheldrake CE Primary</v>
          </cell>
          <cell r="D56">
            <v>216</v>
          </cell>
          <cell r="E56">
            <v>857.5200000000001</v>
          </cell>
          <cell r="G56">
            <v>6.9999999999999982</v>
          </cell>
          <cell r="H56">
            <v>166.38999999999996</v>
          </cell>
          <cell r="J56">
            <v>216</v>
          </cell>
          <cell r="K56">
            <v>779.76</v>
          </cell>
          <cell r="M56">
            <v>216</v>
          </cell>
          <cell r="N56">
            <v>1026</v>
          </cell>
          <cell r="O56">
            <v>6.9999999999999982</v>
          </cell>
          <cell r="P56">
            <v>277.05999999999995</v>
          </cell>
          <cell r="Q56">
            <v>2.3606557377049224</v>
          </cell>
          <cell r="R56">
            <v>300.11016393442679</v>
          </cell>
          <cell r="S56">
            <v>12.495867768595044</v>
          </cell>
          <cell r="T56">
            <v>327.0168595041323</v>
          </cell>
          <cell r="U56">
            <v>1930.187023438559</v>
          </cell>
          <cell r="W56">
            <v>216</v>
          </cell>
          <cell r="X56">
            <v>667.43999999999994</v>
          </cell>
          <cell r="Y56">
            <v>6.9999999999999982</v>
          </cell>
          <cell r="Z56">
            <v>360.70999999999992</v>
          </cell>
          <cell r="AA56">
            <v>12.495867768595044</v>
          </cell>
          <cell r="AB56">
            <v>425.73421487603315</v>
          </cell>
          <cell r="AC56">
            <v>1453.884214876033</v>
          </cell>
          <cell r="AD56">
            <v>0</v>
          </cell>
          <cell r="AE56">
            <v>5187.741238314592</v>
          </cell>
          <cell r="AG56">
            <v>0</v>
          </cell>
        </row>
        <row r="57">
          <cell r="A57">
            <v>2240</v>
          </cell>
          <cell r="B57" t="str">
            <v>Wigginton Primary</v>
          </cell>
          <cell r="D57">
            <v>275</v>
          </cell>
          <cell r="E57">
            <v>1091.75</v>
          </cell>
          <cell r="G57">
            <v>5.9999999999999947</v>
          </cell>
          <cell r="H57">
            <v>142.61999999999986</v>
          </cell>
          <cell r="J57">
            <v>275</v>
          </cell>
          <cell r="K57">
            <v>992.75</v>
          </cell>
          <cell r="M57">
            <v>275</v>
          </cell>
          <cell r="N57">
            <v>1306.25</v>
          </cell>
          <cell r="O57">
            <v>5.9999999999999947</v>
          </cell>
          <cell r="P57">
            <v>237.47999999999979</v>
          </cell>
          <cell r="Q57">
            <v>0</v>
          </cell>
          <cell r="R57">
            <v>0</v>
          </cell>
          <cell r="S57">
            <v>34.580838323353298</v>
          </cell>
          <cell r="T57">
            <v>904.98053892215592</v>
          </cell>
          <cell r="U57">
            <v>2448.7105389221556</v>
          </cell>
          <cell r="W57">
            <v>275</v>
          </cell>
          <cell r="X57">
            <v>849.75</v>
          </cell>
          <cell r="Y57">
            <v>5.9999999999999947</v>
          </cell>
          <cell r="Z57">
            <v>309.17999999999972</v>
          </cell>
          <cell r="AA57">
            <v>34.580838323353298</v>
          </cell>
          <cell r="AB57">
            <v>1178.1691616766468</v>
          </cell>
          <cell r="AC57">
            <v>2337.0991616766469</v>
          </cell>
          <cell r="AD57">
            <v>0</v>
          </cell>
          <cell r="AE57">
            <v>7012.9297005988019</v>
          </cell>
          <cell r="AG57">
            <v>0</v>
          </cell>
        </row>
        <row r="58">
          <cell r="A58">
            <v>2027</v>
          </cell>
          <cell r="B58" t="str">
            <v>Woodthorpe Primary</v>
          </cell>
          <cell r="D58">
            <v>357</v>
          </cell>
          <cell r="E58">
            <v>1417.29</v>
          </cell>
          <cell r="G58">
            <v>69.193820224719047</v>
          </cell>
          <cell r="H58">
            <v>1644.7371067415718</v>
          </cell>
          <cell r="J58">
            <v>357</v>
          </cell>
          <cell r="K58">
            <v>1288.77</v>
          </cell>
          <cell r="M58">
            <v>357</v>
          </cell>
          <cell r="N58">
            <v>1695.75</v>
          </cell>
          <cell r="O58">
            <v>69.193820224719047</v>
          </cell>
          <cell r="P58">
            <v>2738.6914044943796</v>
          </cell>
          <cell r="Q58">
            <v>4.8571428571428399</v>
          </cell>
          <cell r="R58">
            <v>617.48857142856923</v>
          </cell>
          <cell r="S58">
            <v>78.149253731343308</v>
          </cell>
          <cell r="T58">
            <v>2045.1659701492545</v>
          </cell>
          <cell r="U58">
            <v>7097.0959460722033</v>
          </cell>
          <cell r="W58">
            <v>357</v>
          </cell>
          <cell r="X58">
            <v>1103.1299999999999</v>
          </cell>
          <cell r="Y58">
            <v>69.193820224719047</v>
          </cell>
          <cell r="Z58">
            <v>3565.5575561797727</v>
          </cell>
          <cell r="AA58">
            <v>78.149253731343308</v>
          </cell>
          <cell r="AB58">
            <v>2662.5450746268666</v>
          </cell>
          <cell r="AC58">
            <v>7331.2326308066386</v>
          </cell>
          <cell r="AD58">
            <v>0</v>
          </cell>
          <cell r="AE58">
            <v>18779.125683620412</v>
          </cell>
          <cell r="AG58">
            <v>0</v>
          </cell>
        </row>
        <row r="59">
          <cell r="A59">
            <v>2015</v>
          </cell>
          <cell r="B59" t="str">
            <v>Yearsley Grove Primary</v>
          </cell>
          <cell r="D59">
            <v>287</v>
          </cell>
          <cell r="E59">
            <v>1139.3900000000001</v>
          </cell>
          <cell r="G59">
            <v>65.999999999999972</v>
          </cell>
          <cell r="H59">
            <v>1568.8199999999993</v>
          </cell>
          <cell r="J59">
            <v>287</v>
          </cell>
          <cell r="K59">
            <v>1036.07</v>
          </cell>
          <cell r="M59">
            <v>287</v>
          </cell>
          <cell r="N59">
            <v>1363.25</v>
          </cell>
          <cell r="O59">
            <v>65.999999999999972</v>
          </cell>
          <cell r="P59">
            <v>2612.2799999999988</v>
          </cell>
          <cell r="Q59">
            <v>7.1452282157676423</v>
          </cell>
          <cell r="R59">
            <v>908.37286307054035</v>
          </cell>
          <cell r="S59">
            <v>53.207865168539243</v>
          </cell>
          <cell r="T59">
            <v>1392.4498314606722</v>
          </cell>
          <cell r="U59">
            <v>6276.3526945312115</v>
          </cell>
          <cell r="W59">
            <v>287</v>
          </cell>
          <cell r="X59">
            <v>886.82999999999993</v>
          </cell>
          <cell r="Y59">
            <v>65.999999999999972</v>
          </cell>
          <cell r="Z59">
            <v>3400.9799999999987</v>
          </cell>
          <cell r="AA59">
            <v>53.207865168539243</v>
          </cell>
          <cell r="AB59">
            <v>1812.791966292132</v>
          </cell>
          <cell r="AC59">
            <v>6100.6019662921308</v>
          </cell>
          <cell r="AD59">
            <v>0</v>
          </cell>
          <cell r="AE59">
            <v>16121.234660823342</v>
          </cell>
          <cell r="AG59">
            <v>0</v>
          </cell>
        </row>
        <row r="60">
          <cell r="D60">
            <v>0</v>
          </cell>
          <cell r="E60">
            <v>0</v>
          </cell>
          <cell r="G60">
            <v>0</v>
          </cell>
          <cell r="H60">
            <v>0</v>
          </cell>
          <cell r="J60">
            <v>0</v>
          </cell>
          <cell r="K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G60">
            <v>0</v>
          </cell>
        </row>
        <row r="61">
          <cell r="A61">
            <v>0</v>
          </cell>
          <cell r="B61" t="str">
            <v>Primary Schools Total</v>
          </cell>
          <cell r="D61">
            <v>12808</v>
          </cell>
          <cell r="E61">
            <v>50847.76</v>
          </cell>
          <cell r="G61">
            <v>1536.986967483135</v>
          </cell>
          <cell r="H61">
            <v>36534.180217074128</v>
          </cell>
          <cell r="J61">
            <v>12808</v>
          </cell>
          <cell r="K61">
            <v>46236.880000000012</v>
          </cell>
          <cell r="M61">
            <v>12808</v>
          </cell>
          <cell r="N61">
            <v>60838</v>
          </cell>
          <cell r="O61">
            <v>1536.986967483135</v>
          </cell>
          <cell r="P61">
            <v>60833.94417298249</v>
          </cell>
          <cell r="Q61">
            <v>478.54892866727704</v>
          </cell>
          <cell r="R61">
            <v>60837.925301470903</v>
          </cell>
          <cell r="S61">
            <v>2324.4746209474674</v>
          </cell>
          <cell r="T61">
            <v>60831.500830195197</v>
          </cell>
          <cell r="U61">
            <v>243341.37030464868</v>
          </cell>
          <cell r="W61">
            <v>12808</v>
          </cell>
          <cell r="X61">
            <v>39576.720000000008</v>
          </cell>
          <cell r="Y61">
            <v>1536.986967483135</v>
          </cell>
          <cell r="Z61">
            <v>79200.938434405965</v>
          </cell>
          <cell r="AA61">
            <v>2324.4746209474674</v>
          </cell>
          <cell r="AB61">
            <v>79194.850335680196</v>
          </cell>
          <cell r="AC61">
            <v>197972.50877008619</v>
          </cell>
          <cell r="AD61">
            <v>0</v>
          </cell>
          <cell r="AE61">
            <v>574932.699291809</v>
          </cell>
          <cell r="AG61">
            <v>0</v>
          </cell>
        </row>
        <row r="62">
          <cell r="B62" t="str">
            <v>SECONDARY SCHOOLS</v>
          </cell>
          <cell r="D62">
            <v>0</v>
          </cell>
          <cell r="E62">
            <v>57.24</v>
          </cell>
          <cell r="G62">
            <v>0</v>
          </cell>
          <cell r="H62">
            <v>46.7</v>
          </cell>
          <cell r="J62">
            <v>0</v>
          </cell>
          <cell r="K62">
            <v>5.63</v>
          </cell>
          <cell r="M62">
            <v>0</v>
          </cell>
          <cell r="N62">
            <v>6.56</v>
          </cell>
          <cell r="O62">
            <v>0</v>
          </cell>
          <cell r="P62">
            <v>69.430000000000007</v>
          </cell>
          <cell r="Q62">
            <v>0</v>
          </cell>
          <cell r="R62">
            <v>661.53</v>
          </cell>
          <cell r="S62">
            <v>0</v>
          </cell>
          <cell r="T62">
            <v>67.52</v>
          </cell>
          <cell r="U62">
            <v>0</v>
          </cell>
          <cell r="W62">
            <v>0</v>
          </cell>
          <cell r="X62">
            <v>3.28</v>
          </cell>
          <cell r="Y62">
            <v>0</v>
          </cell>
          <cell r="Z62">
            <v>69.42</v>
          </cell>
          <cell r="AA62">
            <v>0</v>
          </cell>
          <cell r="AB62">
            <v>67.510000000000005</v>
          </cell>
          <cell r="AC62">
            <v>0</v>
          </cell>
          <cell r="AD62">
            <v>0</v>
          </cell>
          <cell r="AE62">
            <v>0</v>
          </cell>
          <cell r="AG62">
            <v>0</v>
          </cell>
        </row>
        <row r="63">
          <cell r="A63">
            <v>4702</v>
          </cell>
          <cell r="B63" t="str">
            <v>All Saints’ RC School</v>
          </cell>
          <cell r="D63">
            <v>879</v>
          </cell>
          <cell r="E63">
            <v>50313.96</v>
          </cell>
          <cell r="G63">
            <v>53.000000000000007</v>
          </cell>
          <cell r="H63">
            <v>2475.1000000000004</v>
          </cell>
          <cell r="J63">
            <v>879</v>
          </cell>
          <cell r="K63">
            <v>4948.7699999999995</v>
          </cell>
          <cell r="M63">
            <v>879</v>
          </cell>
          <cell r="N63">
            <v>5766.24</v>
          </cell>
          <cell r="O63">
            <v>53.000000000000007</v>
          </cell>
          <cell r="P63">
            <v>3679.7900000000009</v>
          </cell>
          <cell r="Q63">
            <v>15.42105263157894</v>
          </cell>
          <cell r="R63">
            <v>10201.488947368416</v>
          </cell>
          <cell r="S63">
            <v>51.390986601705244</v>
          </cell>
          <cell r="T63">
            <v>3469.9194153471381</v>
          </cell>
          <cell r="U63">
            <v>23117.438362715555</v>
          </cell>
          <cell r="W63">
            <v>879</v>
          </cell>
          <cell r="X63">
            <v>2883.12</v>
          </cell>
          <cell r="Y63">
            <v>53.000000000000007</v>
          </cell>
          <cell r="Z63">
            <v>3679.2600000000007</v>
          </cell>
          <cell r="AA63">
            <v>51.390986601705244</v>
          </cell>
          <cell r="AB63">
            <v>3469.4055054811211</v>
          </cell>
          <cell r="AC63">
            <v>10031.785505481123</v>
          </cell>
          <cell r="AD63">
            <v>0</v>
          </cell>
          <cell r="AE63">
            <v>90887.053868196672</v>
          </cell>
          <cell r="AG63">
            <v>0</v>
          </cell>
        </row>
        <row r="64">
          <cell r="A64">
            <v>4500</v>
          </cell>
          <cell r="B64" t="str">
            <v>Archbishop Holgate's CE School</v>
          </cell>
          <cell r="D64">
            <v>0</v>
          </cell>
          <cell r="E64">
            <v>0</v>
          </cell>
          <cell r="G64">
            <v>0</v>
          </cell>
          <cell r="H64">
            <v>0</v>
          </cell>
          <cell r="J64">
            <v>0</v>
          </cell>
          <cell r="K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G64">
            <v>0</v>
          </cell>
        </row>
        <row r="65">
          <cell r="A65">
            <v>4227</v>
          </cell>
          <cell r="B65" t="str">
            <v>Burnholme Community College</v>
          </cell>
          <cell r="D65">
            <v>187</v>
          </cell>
          <cell r="E65">
            <v>10703.880000000001</v>
          </cell>
          <cell r="G65">
            <v>51.999999999999915</v>
          </cell>
          <cell r="H65">
            <v>2428.399999999996</v>
          </cell>
          <cell r="J65">
            <v>187</v>
          </cell>
          <cell r="K65">
            <v>1052.81</v>
          </cell>
          <cell r="M65">
            <v>187</v>
          </cell>
          <cell r="N65">
            <v>1226.72</v>
          </cell>
          <cell r="O65">
            <v>51.999999999999915</v>
          </cell>
          <cell r="P65">
            <v>3610.3599999999942</v>
          </cell>
          <cell r="Q65">
            <v>3.9999999999999996</v>
          </cell>
          <cell r="R65">
            <v>2646.1199999999994</v>
          </cell>
          <cell r="S65">
            <v>44.523809523809504</v>
          </cell>
          <cell r="T65">
            <v>3006.2476190476177</v>
          </cell>
          <cell r="U65">
            <v>10489.447619047611</v>
          </cell>
          <cell r="W65">
            <v>187</v>
          </cell>
          <cell r="X65">
            <v>613.36</v>
          </cell>
          <cell r="Y65">
            <v>51.999999999999915</v>
          </cell>
          <cell r="Z65">
            <v>3609.8399999999942</v>
          </cell>
          <cell r="AA65">
            <v>44.523809523809504</v>
          </cell>
          <cell r="AB65">
            <v>3005.8023809523797</v>
          </cell>
          <cell r="AC65">
            <v>7229.0023809523736</v>
          </cell>
          <cell r="AD65">
            <v>0</v>
          </cell>
          <cell r="AE65">
            <v>31903.539999999983</v>
          </cell>
          <cell r="AG65">
            <v>0</v>
          </cell>
        </row>
        <row r="66">
          <cell r="A66">
            <v>4003</v>
          </cell>
          <cell r="B66" t="str">
            <v>Canon Lee School</v>
          </cell>
          <cell r="D66">
            <v>710</v>
          </cell>
          <cell r="E66">
            <v>40640.400000000001</v>
          </cell>
          <cell r="G66">
            <v>96.999999999999886</v>
          </cell>
          <cell r="H66">
            <v>4529.8999999999951</v>
          </cell>
          <cell r="J66">
            <v>710</v>
          </cell>
          <cell r="K66">
            <v>3997.2999999999997</v>
          </cell>
          <cell r="M66">
            <v>710</v>
          </cell>
          <cell r="N66">
            <v>4657.5999999999995</v>
          </cell>
          <cell r="O66">
            <v>96.999999999999886</v>
          </cell>
          <cell r="P66">
            <v>6734.7099999999928</v>
          </cell>
          <cell r="Q66">
            <v>8.0339462517680236</v>
          </cell>
          <cell r="R66">
            <v>5314.6964639321004</v>
          </cell>
          <cell r="S66">
            <v>90.946142649199246</v>
          </cell>
          <cell r="T66">
            <v>6140.6835516739329</v>
          </cell>
          <cell r="U66">
            <v>22847.690015606026</v>
          </cell>
          <cell r="W66">
            <v>710</v>
          </cell>
          <cell r="X66">
            <v>2328.7999999999997</v>
          </cell>
          <cell r="Y66">
            <v>96.999999999999886</v>
          </cell>
          <cell r="Z66">
            <v>6733.7399999999925</v>
          </cell>
          <cell r="AA66">
            <v>90.946142649199246</v>
          </cell>
          <cell r="AB66">
            <v>6139.7740902474416</v>
          </cell>
          <cell r="AC66">
            <v>15202.314090247433</v>
          </cell>
          <cell r="AD66">
            <v>0</v>
          </cell>
          <cell r="AE66">
            <v>87217.604105853447</v>
          </cell>
          <cell r="AG66">
            <v>0</v>
          </cell>
        </row>
        <row r="67">
          <cell r="A67">
            <v>4153</v>
          </cell>
          <cell r="B67" t="str">
            <v>Fulford School</v>
          </cell>
          <cell r="D67">
            <v>1021</v>
          </cell>
          <cell r="E67">
            <v>58442.04</v>
          </cell>
          <cell r="G67">
            <v>32.679922405431597</v>
          </cell>
          <cell r="H67">
            <v>1526.1523763336556</v>
          </cell>
          <cell r="J67">
            <v>1021</v>
          </cell>
          <cell r="K67">
            <v>5748.23</v>
          </cell>
          <cell r="M67">
            <v>1021</v>
          </cell>
          <cell r="N67">
            <v>6697.7599999999993</v>
          </cell>
          <cell r="O67">
            <v>32.679922405431597</v>
          </cell>
          <cell r="P67">
            <v>2268.967012609116</v>
          </cell>
          <cell r="Q67">
            <v>8.9213592233009678</v>
          </cell>
          <cell r="R67">
            <v>5901.746766990289</v>
          </cell>
          <cell r="S67">
            <v>52.123123123123172</v>
          </cell>
          <cell r="T67">
            <v>3519.3532732732765</v>
          </cell>
          <cell r="U67">
            <v>18387.827052872679</v>
          </cell>
          <cell r="W67">
            <v>1021</v>
          </cell>
          <cell r="X67">
            <v>3348.8799999999997</v>
          </cell>
          <cell r="Y67">
            <v>32.679922405431597</v>
          </cell>
          <cell r="Z67">
            <v>2268.6402133850615</v>
          </cell>
          <cell r="AA67">
            <v>52.123123123123172</v>
          </cell>
          <cell r="AB67">
            <v>3518.8320420420455</v>
          </cell>
          <cell r="AC67">
            <v>9136.3522554271076</v>
          </cell>
          <cell r="AD67">
            <v>0</v>
          </cell>
          <cell r="AE67">
            <v>93240.601684633439</v>
          </cell>
          <cell r="AG67">
            <v>0</v>
          </cell>
        </row>
        <row r="68">
          <cell r="A68">
            <v>4063</v>
          </cell>
          <cell r="B68" t="str">
            <v>Huntington School</v>
          </cell>
          <cell r="D68">
            <v>1144</v>
          </cell>
          <cell r="E68">
            <v>65482.560000000005</v>
          </cell>
          <cell r="G68">
            <v>91.999999999999986</v>
          </cell>
          <cell r="H68">
            <v>4296.3999999999996</v>
          </cell>
          <cell r="J68">
            <v>1144</v>
          </cell>
          <cell r="K68">
            <v>6440.72</v>
          </cell>
          <cell r="M68">
            <v>1144</v>
          </cell>
          <cell r="N68">
            <v>7504.6399999999994</v>
          </cell>
          <cell r="O68">
            <v>91.999999999999986</v>
          </cell>
          <cell r="P68">
            <v>6387.5599999999995</v>
          </cell>
          <cell r="Q68">
            <v>2.9999999999999973</v>
          </cell>
          <cell r="R68">
            <v>1984.5899999999981</v>
          </cell>
          <cell r="S68">
            <v>101.10278578290108</v>
          </cell>
          <cell r="T68">
            <v>6826.4600960614807</v>
          </cell>
          <cell r="U68">
            <v>22703.250096061478</v>
          </cell>
          <cell r="W68">
            <v>1144</v>
          </cell>
          <cell r="X68">
            <v>3752.3199999999997</v>
          </cell>
          <cell r="Y68">
            <v>91.999999999999986</v>
          </cell>
          <cell r="Z68">
            <v>6386.6399999999994</v>
          </cell>
          <cell r="AA68">
            <v>101.10278578290108</v>
          </cell>
          <cell r="AB68">
            <v>6825.4490682036521</v>
          </cell>
          <cell r="AC68">
            <v>16964.409068203651</v>
          </cell>
          <cell r="AD68">
            <v>0</v>
          </cell>
          <cell r="AE68">
            <v>115887.33916426514</v>
          </cell>
          <cell r="AG68">
            <v>0</v>
          </cell>
        </row>
        <row r="69">
          <cell r="A69">
            <v>4508</v>
          </cell>
          <cell r="B69" t="str">
            <v>Joseph Rowntree School</v>
          </cell>
          <cell r="D69">
            <v>970</v>
          </cell>
          <cell r="E69">
            <v>55522.8</v>
          </cell>
          <cell r="G69">
            <v>85.122448979591809</v>
          </cell>
          <cell r="H69">
            <v>3975.2183673469376</v>
          </cell>
          <cell r="J69">
            <v>970</v>
          </cell>
          <cell r="K69">
            <v>5461.0999999999995</v>
          </cell>
          <cell r="M69">
            <v>970</v>
          </cell>
          <cell r="N69">
            <v>6363.2</v>
          </cell>
          <cell r="O69">
            <v>85.122448979591809</v>
          </cell>
          <cell r="P69">
            <v>5910.0516326530596</v>
          </cell>
          <cell r="Q69">
            <v>13.85714285714287</v>
          </cell>
          <cell r="R69">
            <v>9166.9157142857221</v>
          </cell>
          <cell r="S69">
            <v>101.58783783783811</v>
          </cell>
          <cell r="T69">
            <v>6859.2108108108287</v>
          </cell>
          <cell r="U69">
            <v>28299.378157749612</v>
          </cell>
          <cell r="W69">
            <v>970</v>
          </cell>
          <cell r="X69">
            <v>3181.6</v>
          </cell>
          <cell r="Y69">
            <v>85.122448979591809</v>
          </cell>
          <cell r="Z69">
            <v>5909.2004081632631</v>
          </cell>
          <cell r="AA69">
            <v>101.58783783783811</v>
          </cell>
          <cell r="AB69">
            <v>6858.1949324324514</v>
          </cell>
          <cell r="AC69">
            <v>15948.995340595713</v>
          </cell>
          <cell r="AD69">
            <v>0</v>
          </cell>
          <cell r="AE69">
            <v>109207.49186569228</v>
          </cell>
          <cell r="AG69">
            <v>0</v>
          </cell>
        </row>
        <row r="70">
          <cell r="A70">
            <v>4602</v>
          </cell>
          <cell r="B70" t="str">
            <v>Manor CE School</v>
          </cell>
          <cell r="D70">
            <v>0</v>
          </cell>
          <cell r="E70">
            <v>0</v>
          </cell>
          <cell r="G70">
            <v>0</v>
          </cell>
          <cell r="H70">
            <v>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G70">
            <v>0</v>
          </cell>
        </row>
        <row r="71">
          <cell r="A71">
            <v>4229</v>
          </cell>
          <cell r="B71" t="str">
            <v>Millthorpe School</v>
          </cell>
          <cell r="D71">
            <v>940</v>
          </cell>
          <cell r="E71">
            <v>53805.599999999999</v>
          </cell>
          <cell r="G71">
            <v>84.000000000000028</v>
          </cell>
          <cell r="H71">
            <v>3922.8000000000015</v>
          </cell>
          <cell r="J71">
            <v>940</v>
          </cell>
          <cell r="K71">
            <v>5292.2</v>
          </cell>
          <cell r="M71">
            <v>940</v>
          </cell>
          <cell r="N71">
            <v>6166.4</v>
          </cell>
          <cell r="O71">
            <v>84.000000000000028</v>
          </cell>
          <cell r="P71">
            <v>5832.1200000000026</v>
          </cell>
          <cell r="Q71">
            <v>15.080213903743314</v>
          </cell>
          <cell r="R71">
            <v>9976.0139037433146</v>
          </cell>
          <cell r="S71">
            <v>72.307692307692292</v>
          </cell>
          <cell r="T71">
            <v>4882.2153846153833</v>
          </cell>
          <cell r="U71">
            <v>26856.749288358697</v>
          </cell>
          <cell r="W71">
            <v>940</v>
          </cell>
          <cell r="X71">
            <v>3083.2</v>
          </cell>
          <cell r="Y71">
            <v>84.000000000000028</v>
          </cell>
          <cell r="Z71">
            <v>5831.2800000000025</v>
          </cell>
          <cell r="AA71">
            <v>72.307692307692292</v>
          </cell>
          <cell r="AB71">
            <v>4881.4923076923069</v>
          </cell>
          <cell r="AC71">
            <v>13795.972307692311</v>
          </cell>
          <cell r="AD71">
            <v>0</v>
          </cell>
          <cell r="AE71">
            <v>103673.32159605101</v>
          </cell>
          <cell r="AG71">
            <v>0</v>
          </cell>
        </row>
        <row r="72">
          <cell r="A72">
            <v>4703</v>
          </cell>
          <cell r="B72" t="str">
            <v>York High School</v>
          </cell>
          <cell r="D72">
            <v>791</v>
          </cell>
          <cell r="E72">
            <v>45276.840000000004</v>
          </cell>
          <cell r="G72">
            <v>174.99999999999972</v>
          </cell>
          <cell r="H72">
            <v>8172.4999999999873</v>
          </cell>
          <cell r="J72">
            <v>791</v>
          </cell>
          <cell r="K72">
            <v>4453.33</v>
          </cell>
          <cell r="M72">
            <v>791</v>
          </cell>
          <cell r="N72">
            <v>5188.96</v>
          </cell>
          <cell r="O72">
            <v>174.99999999999972</v>
          </cell>
          <cell r="P72">
            <v>12150.249999999982</v>
          </cell>
          <cell r="Q72">
            <v>1.0000000000000031</v>
          </cell>
          <cell r="R72">
            <v>661.53000000000202</v>
          </cell>
          <cell r="S72">
            <v>160.46293888166429</v>
          </cell>
          <cell r="T72">
            <v>10834.457633289972</v>
          </cell>
          <cell r="U72">
            <v>28835.197633289958</v>
          </cell>
          <cell r="W72">
            <v>791</v>
          </cell>
          <cell r="X72">
            <v>2594.48</v>
          </cell>
          <cell r="Y72">
            <v>174.99999999999972</v>
          </cell>
          <cell r="Z72">
            <v>12148.49999999998</v>
          </cell>
          <cell r="AA72">
            <v>160.46293888166429</v>
          </cell>
          <cell r="AB72">
            <v>10832.853003901157</v>
          </cell>
          <cell r="AC72">
            <v>25575.833003901134</v>
          </cell>
          <cell r="AD72">
            <v>0</v>
          </cell>
          <cell r="AE72">
            <v>112313.70063719108</v>
          </cell>
          <cell r="AG72">
            <v>0</v>
          </cell>
        </row>
        <row r="73">
          <cell r="D73">
            <v>0</v>
          </cell>
          <cell r="E73">
            <v>0</v>
          </cell>
          <cell r="G73">
            <v>0</v>
          </cell>
          <cell r="H73">
            <v>0</v>
          </cell>
          <cell r="J73">
            <v>0</v>
          </cell>
          <cell r="K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G73">
            <v>0</v>
          </cell>
        </row>
        <row r="74">
          <cell r="A74">
            <v>0</v>
          </cell>
          <cell r="B74" t="str">
            <v>Total All Secondary Schools</v>
          </cell>
          <cell r="D74">
            <v>6642</v>
          </cell>
          <cell r="E74">
            <v>380188.08</v>
          </cell>
          <cell r="G74">
            <v>670.80237138502298</v>
          </cell>
          <cell r="H74">
            <v>31326.470743680573</v>
          </cell>
          <cell r="J74">
            <v>6642</v>
          </cell>
          <cell r="K74">
            <v>37394.46</v>
          </cell>
          <cell r="M74">
            <v>6642</v>
          </cell>
          <cell r="N74">
            <v>43571.519999999997</v>
          </cell>
          <cell r="O74">
            <v>670.80237138502298</v>
          </cell>
          <cell r="P74">
            <v>46573.808645262143</v>
          </cell>
          <cell r="Q74">
            <v>69.313714867534117</v>
          </cell>
          <cell r="R74">
            <v>45853.101796319839</v>
          </cell>
          <cell r="S74">
            <v>674.44531670793288</v>
          </cell>
          <cell r="T74">
            <v>45538.547784119633</v>
          </cell>
          <cell r="U74">
            <v>181536.9782257016</v>
          </cell>
          <cell r="W74">
            <v>6642</v>
          </cell>
          <cell r="X74">
            <v>21785.759999999998</v>
          </cell>
          <cell r="Y74">
            <v>670.80237138502298</v>
          </cell>
          <cell r="Z74">
            <v>46567.100621548292</v>
          </cell>
          <cell r="AA74">
            <v>674.44531670793288</v>
          </cell>
          <cell r="AB74">
            <v>45531.803330952556</v>
          </cell>
          <cell r="AC74">
            <v>113884.66395250084</v>
          </cell>
          <cell r="AD74">
            <v>0</v>
          </cell>
          <cell r="AE74">
            <v>744330.65292188304</v>
          </cell>
          <cell r="AG74">
            <v>0</v>
          </cell>
        </row>
        <row r="75">
          <cell r="A75">
            <v>0</v>
          </cell>
          <cell r="B75">
            <v>0</v>
          </cell>
          <cell r="D75">
            <v>0</v>
          </cell>
          <cell r="E75">
            <v>0</v>
          </cell>
          <cell r="G75">
            <v>0</v>
          </cell>
          <cell r="H75">
            <v>0</v>
          </cell>
          <cell r="J75">
            <v>0</v>
          </cell>
          <cell r="K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G75">
            <v>0</v>
          </cell>
        </row>
        <row r="76">
          <cell r="A76">
            <v>0</v>
          </cell>
          <cell r="B76" t="str">
            <v>TOTAL ALL SCHOOLS</v>
          </cell>
          <cell r="D76">
            <v>19450</v>
          </cell>
          <cell r="E76">
            <v>431035.84</v>
          </cell>
          <cell r="G76">
            <v>2207.7893388681578</v>
          </cell>
          <cell r="H76">
            <v>67860.650960754705</v>
          </cell>
          <cell r="J76">
            <v>19450</v>
          </cell>
          <cell r="K76">
            <v>83631.340000000011</v>
          </cell>
          <cell r="M76">
            <v>19450</v>
          </cell>
          <cell r="N76">
            <v>104409.51999999999</v>
          </cell>
          <cell r="O76">
            <v>2207.7893388681578</v>
          </cell>
          <cell r="P76">
            <v>107407.75281824463</v>
          </cell>
          <cell r="Q76">
            <v>547.86264353481113</v>
          </cell>
          <cell r="R76">
            <v>106691.02709779073</v>
          </cell>
          <cell r="S76">
            <v>2998.9199376554002</v>
          </cell>
          <cell r="T76">
            <v>106370.04861431483</v>
          </cell>
          <cell r="U76">
            <v>424878.34853035025</v>
          </cell>
          <cell r="W76">
            <v>19450</v>
          </cell>
          <cell r="X76">
            <v>61362.48000000001</v>
          </cell>
          <cell r="Y76">
            <v>2207.7893388681578</v>
          </cell>
          <cell r="Z76">
            <v>125768.03905595426</v>
          </cell>
          <cell r="AA76">
            <v>2998.9199376554002</v>
          </cell>
          <cell r="AB76">
            <v>124726.65366663274</v>
          </cell>
          <cell r="AC76">
            <v>311857.17272258701</v>
          </cell>
          <cell r="AD76">
            <v>0</v>
          </cell>
          <cell r="AE76">
            <v>1319263.3522136919</v>
          </cell>
          <cell r="AG76">
            <v>0</v>
          </cell>
        </row>
      </sheetData>
      <sheetData sheetId="7">
        <row r="7">
          <cell r="B7" t="str">
            <v>PRIMARY SCHOOLS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L7">
            <v>0</v>
          </cell>
          <cell r="AM7">
            <v>-1.4999999999999999E-2</v>
          </cell>
          <cell r="AN7">
            <v>0</v>
          </cell>
          <cell r="AO7">
            <v>0</v>
          </cell>
          <cell r="AP7">
            <v>0</v>
          </cell>
          <cell r="AQ7">
            <v>1.3834943299999999E-2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</row>
        <row r="8">
          <cell r="A8">
            <v>2000</v>
          </cell>
          <cell r="B8" t="str">
            <v>Acomb Primary</v>
          </cell>
          <cell r="D8">
            <v>222</v>
          </cell>
          <cell r="E8">
            <v>771516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16754</v>
          </cell>
          <cell r="O8">
            <v>0</v>
          </cell>
          <cell r="P8">
            <v>24732</v>
          </cell>
          <cell r="Q8">
            <v>200000</v>
          </cell>
          <cell r="R8">
            <v>0</v>
          </cell>
          <cell r="S8">
            <v>0</v>
          </cell>
          <cell r="T8">
            <v>0</v>
          </cell>
          <cell r="U8">
            <v>530030</v>
          </cell>
          <cell r="V8">
            <v>2387.5225225225226</v>
          </cell>
          <cell r="X8">
            <v>25434</v>
          </cell>
          <cell r="Y8">
            <v>200000</v>
          </cell>
          <cell r="Z8">
            <v>0</v>
          </cell>
          <cell r="AA8">
            <v>12721.44019844357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238155.44019844357</v>
          </cell>
          <cell r="AL8">
            <v>223</v>
          </cell>
          <cell r="AM8">
            <v>2351.7096846846848</v>
          </cell>
          <cell r="AN8">
            <v>524431.25968468469</v>
          </cell>
          <cell r="AO8">
            <v>238155.44019844357</v>
          </cell>
          <cell r="AP8">
            <v>762586.69988312828</v>
          </cell>
          <cell r="AQ8">
            <v>2420.5537612490948</v>
          </cell>
          <cell r="AR8">
            <v>539783.48875854816</v>
          </cell>
          <cell r="AS8">
            <v>238155.44019844357</v>
          </cell>
          <cell r="AT8">
            <v>777938.92895699176</v>
          </cell>
          <cell r="AU8">
            <v>770567.65064558445</v>
          </cell>
          <cell r="AV8">
            <v>0</v>
          </cell>
          <cell r="AW8">
            <v>0</v>
          </cell>
          <cell r="AX8">
            <v>0</v>
          </cell>
          <cell r="AY8" t="str">
            <v>TARGET</v>
          </cell>
          <cell r="AZ8">
            <v>0</v>
          </cell>
          <cell r="BA8">
            <v>16754</v>
          </cell>
          <cell r="BB8">
            <v>12721.44019844357</v>
          </cell>
          <cell r="BC8">
            <v>0</v>
          </cell>
          <cell r="BD8">
            <v>0</v>
          </cell>
        </row>
        <row r="9">
          <cell r="A9">
            <v>3229</v>
          </cell>
          <cell r="B9" t="str">
            <v>Archbishop of York's CE Junior</v>
          </cell>
          <cell r="D9">
            <v>211</v>
          </cell>
          <cell r="E9">
            <v>699330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10649</v>
          </cell>
          <cell r="Q9">
            <v>200000</v>
          </cell>
          <cell r="R9">
            <v>0</v>
          </cell>
          <cell r="S9">
            <v>0</v>
          </cell>
          <cell r="T9">
            <v>0</v>
          </cell>
          <cell r="U9">
            <v>488681</v>
          </cell>
          <cell r="V9">
            <v>2316.0236966824646</v>
          </cell>
          <cell r="X9">
            <v>10951</v>
          </cell>
          <cell r="Y9">
            <v>200000</v>
          </cell>
          <cell r="Z9">
            <v>0</v>
          </cell>
          <cell r="AA9">
            <v>13415.235175557104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224366.23517555711</v>
          </cell>
          <cell r="AL9">
            <v>229</v>
          </cell>
          <cell r="AM9">
            <v>2281.2833412322275</v>
          </cell>
          <cell r="AN9">
            <v>522413.88514218008</v>
          </cell>
          <cell r="AO9">
            <v>224366.23517555711</v>
          </cell>
          <cell r="AP9">
            <v>746780.12031773722</v>
          </cell>
          <cell r="AQ9">
            <v>2348.0657532075229</v>
          </cell>
          <cell r="AR9">
            <v>537707.05748452269</v>
          </cell>
          <cell r="AS9">
            <v>224366.23517555711</v>
          </cell>
          <cell r="AT9">
            <v>762073.29266007978</v>
          </cell>
          <cell r="AU9">
            <v>783594.88793103443</v>
          </cell>
          <cell r="AV9">
            <v>0</v>
          </cell>
          <cell r="AW9">
            <v>-21521.595270954655</v>
          </cell>
          <cell r="AX9">
            <v>0</v>
          </cell>
          <cell r="AY9" t="str">
            <v>CEILING</v>
          </cell>
          <cell r="AZ9">
            <v>0</v>
          </cell>
          <cell r="BA9">
            <v>0</v>
          </cell>
          <cell r="BB9">
            <v>13415.235175557104</v>
          </cell>
          <cell r="BC9">
            <v>0</v>
          </cell>
          <cell r="BD9">
            <v>0</v>
          </cell>
        </row>
        <row r="10">
          <cell r="A10">
            <v>2431</v>
          </cell>
          <cell r="B10" t="str">
            <v>Badger Hill Primary</v>
          </cell>
          <cell r="D10">
            <v>120</v>
          </cell>
          <cell r="E10">
            <v>541228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27463</v>
          </cell>
          <cell r="O10">
            <v>0</v>
          </cell>
          <cell r="P10">
            <v>10076</v>
          </cell>
          <cell r="Q10">
            <v>200000</v>
          </cell>
          <cell r="R10">
            <v>0</v>
          </cell>
          <cell r="S10">
            <v>0</v>
          </cell>
          <cell r="T10">
            <v>0</v>
          </cell>
          <cell r="U10">
            <v>303689</v>
          </cell>
          <cell r="V10">
            <v>2530.7416666666668</v>
          </cell>
          <cell r="X10">
            <v>10362</v>
          </cell>
          <cell r="Y10">
            <v>200000</v>
          </cell>
          <cell r="Z10">
            <v>0</v>
          </cell>
          <cell r="AA10">
            <v>11811.772949992646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222173.77294999265</v>
          </cell>
          <cell r="AL10">
            <v>143</v>
          </cell>
          <cell r="AM10">
            <v>2492.780541666667</v>
          </cell>
          <cell r="AN10">
            <v>356467.61745833338</v>
          </cell>
          <cell r="AO10">
            <v>222173.77294999265</v>
          </cell>
          <cell r="AP10">
            <v>578641.39040832606</v>
          </cell>
          <cell r="AQ10">
            <v>2565.7543341319479</v>
          </cell>
          <cell r="AR10">
            <v>366902.86978086852</v>
          </cell>
          <cell r="AS10">
            <v>222173.77294999265</v>
          </cell>
          <cell r="AT10">
            <v>589076.6427308612</v>
          </cell>
          <cell r="AU10">
            <v>586590.22230401181</v>
          </cell>
          <cell r="AV10">
            <v>0</v>
          </cell>
          <cell r="AW10">
            <v>0</v>
          </cell>
          <cell r="AX10">
            <v>0</v>
          </cell>
          <cell r="AY10" t="str">
            <v>TARGET</v>
          </cell>
          <cell r="AZ10">
            <v>0</v>
          </cell>
          <cell r="BA10">
            <v>27463</v>
          </cell>
          <cell r="BB10">
            <v>11811.772949992646</v>
          </cell>
          <cell r="BC10">
            <v>0</v>
          </cell>
          <cell r="BD10">
            <v>0</v>
          </cell>
        </row>
        <row r="11">
          <cell r="A11">
            <v>2386</v>
          </cell>
          <cell r="B11" t="str">
            <v>Bishopthorpe Infant</v>
          </cell>
          <cell r="D11">
            <v>177</v>
          </cell>
          <cell r="E11">
            <v>624037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6022</v>
          </cell>
          <cell r="Q11">
            <v>200000</v>
          </cell>
          <cell r="R11">
            <v>0</v>
          </cell>
          <cell r="S11">
            <v>0</v>
          </cell>
          <cell r="T11">
            <v>0</v>
          </cell>
          <cell r="U11">
            <v>418015</v>
          </cell>
          <cell r="V11">
            <v>2361.6666666666665</v>
          </cell>
          <cell r="X11">
            <v>6183</v>
          </cell>
          <cell r="Y11">
            <v>200000</v>
          </cell>
          <cell r="Z11">
            <v>0</v>
          </cell>
          <cell r="AA11">
            <v>10566.064176327167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216749.06417632717</v>
          </cell>
          <cell r="AL11">
            <v>179</v>
          </cell>
          <cell r="AM11">
            <v>2326.2416666666663</v>
          </cell>
          <cell r="AN11">
            <v>416397.2583333333</v>
          </cell>
          <cell r="AO11">
            <v>216749.06417632717</v>
          </cell>
          <cell r="AP11">
            <v>633146.3225096605</v>
          </cell>
          <cell r="AQ11">
            <v>2394.3401910934999</v>
          </cell>
          <cell r="AR11">
            <v>428586.89420573646</v>
          </cell>
          <cell r="AS11">
            <v>216749.06417632717</v>
          </cell>
          <cell r="AT11">
            <v>645335.95838206366</v>
          </cell>
          <cell r="AU11">
            <v>652199.34683908056</v>
          </cell>
          <cell r="AV11">
            <v>0</v>
          </cell>
          <cell r="AW11">
            <v>-6863.388457016903</v>
          </cell>
          <cell r="AX11">
            <v>0</v>
          </cell>
          <cell r="AY11" t="str">
            <v>CEILING</v>
          </cell>
          <cell r="AZ11">
            <v>0</v>
          </cell>
          <cell r="BA11">
            <v>0</v>
          </cell>
          <cell r="BB11">
            <v>10566.064176327167</v>
          </cell>
          <cell r="BC11">
            <v>0</v>
          </cell>
          <cell r="BD11">
            <v>0</v>
          </cell>
        </row>
        <row r="12">
          <cell r="A12">
            <v>2024</v>
          </cell>
          <cell r="B12" t="str">
            <v>Burton Green Primary</v>
          </cell>
          <cell r="D12">
            <v>158</v>
          </cell>
          <cell r="E12">
            <v>790900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51066</v>
          </cell>
          <cell r="L12">
            <v>0</v>
          </cell>
          <cell r="M12">
            <v>0</v>
          </cell>
          <cell r="N12">
            <v>15727</v>
          </cell>
          <cell r="O12">
            <v>0</v>
          </cell>
          <cell r="P12">
            <v>17748</v>
          </cell>
          <cell r="Q12">
            <v>200000</v>
          </cell>
          <cell r="R12">
            <v>0</v>
          </cell>
          <cell r="S12">
            <v>0</v>
          </cell>
          <cell r="T12">
            <v>0</v>
          </cell>
          <cell r="U12">
            <v>506359</v>
          </cell>
          <cell r="V12">
            <v>3204.8037974683543</v>
          </cell>
          <cell r="X12">
            <v>18252</v>
          </cell>
          <cell r="Y12">
            <v>200000</v>
          </cell>
          <cell r="Z12">
            <v>0</v>
          </cell>
          <cell r="AA12">
            <v>19755.001943557778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238007.00194355779</v>
          </cell>
          <cell r="AL12">
            <v>161</v>
          </cell>
          <cell r="AM12">
            <v>3156.7317405063291</v>
          </cell>
          <cell r="AN12">
            <v>508233.81022151897</v>
          </cell>
          <cell r="AO12">
            <v>238007.00194355779</v>
          </cell>
          <cell r="AP12">
            <v>746240.81216507673</v>
          </cell>
          <cell r="AQ12">
            <v>3249.1420762939538</v>
          </cell>
          <cell r="AR12">
            <v>523111.87428332656</v>
          </cell>
          <cell r="AS12">
            <v>238007.00194355779</v>
          </cell>
          <cell r="AT12">
            <v>761118.87622688431</v>
          </cell>
          <cell r="AU12">
            <v>817365.43025544577</v>
          </cell>
          <cell r="AV12">
            <v>0</v>
          </cell>
          <cell r="AW12">
            <v>-56246.554028561455</v>
          </cell>
          <cell r="AX12">
            <v>0</v>
          </cell>
          <cell r="AY12" t="str">
            <v>CEILING</v>
          </cell>
          <cell r="AZ12">
            <v>0</v>
          </cell>
          <cell r="BA12">
            <v>66793</v>
          </cell>
          <cell r="BB12">
            <v>19755.001943557778</v>
          </cell>
          <cell r="BC12">
            <v>0</v>
          </cell>
          <cell r="BD12">
            <v>0</v>
          </cell>
        </row>
        <row r="13">
          <cell r="A13">
            <v>2003</v>
          </cell>
          <cell r="B13" t="str">
            <v>Carr Infant</v>
          </cell>
          <cell r="D13">
            <v>195</v>
          </cell>
          <cell r="E13">
            <v>903860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143604</v>
          </cell>
          <cell r="L13">
            <v>0</v>
          </cell>
          <cell r="M13">
            <v>0</v>
          </cell>
          <cell r="N13">
            <v>2624</v>
          </cell>
          <cell r="O13">
            <v>0</v>
          </cell>
          <cell r="P13">
            <v>8931</v>
          </cell>
          <cell r="Q13">
            <v>200000</v>
          </cell>
          <cell r="R13">
            <v>0</v>
          </cell>
          <cell r="S13">
            <v>0</v>
          </cell>
          <cell r="T13">
            <v>0</v>
          </cell>
          <cell r="U13">
            <v>548701</v>
          </cell>
          <cell r="V13">
            <v>2813.8512820512819</v>
          </cell>
          <cell r="X13">
            <v>9185</v>
          </cell>
          <cell r="Y13">
            <v>200000</v>
          </cell>
          <cell r="Z13">
            <v>0</v>
          </cell>
          <cell r="AA13">
            <v>20492.654904010386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229677.65490401039</v>
          </cell>
          <cell r="AL13">
            <v>227</v>
          </cell>
          <cell r="AM13">
            <v>2771.6435128205126</v>
          </cell>
          <cell r="AN13">
            <v>629163.07741025637</v>
          </cell>
          <cell r="AO13">
            <v>229677.65490401039</v>
          </cell>
          <cell r="AP13">
            <v>858840.73231426673</v>
          </cell>
          <cell r="AQ13">
            <v>2852.780754993094</v>
          </cell>
          <cell r="AR13">
            <v>647581.23138343228</v>
          </cell>
          <cell r="AS13">
            <v>229677.65490401039</v>
          </cell>
          <cell r="AT13">
            <v>877258.88628744264</v>
          </cell>
          <cell r="AU13">
            <v>900603.23133500584</v>
          </cell>
          <cell r="AV13">
            <v>0</v>
          </cell>
          <cell r="AW13">
            <v>-23344.345047563198</v>
          </cell>
          <cell r="AX13">
            <v>0</v>
          </cell>
          <cell r="AY13" t="str">
            <v>CEILING</v>
          </cell>
          <cell r="AZ13">
            <v>0</v>
          </cell>
          <cell r="BA13">
            <v>146228</v>
          </cell>
          <cell r="BB13">
            <v>20492.654904010386</v>
          </cell>
          <cell r="BC13">
            <v>0</v>
          </cell>
          <cell r="BD13">
            <v>0</v>
          </cell>
        </row>
        <row r="14">
          <cell r="A14">
            <v>2002</v>
          </cell>
          <cell r="B14" t="str">
            <v>Carr Junior</v>
          </cell>
          <cell r="D14">
            <v>222</v>
          </cell>
          <cell r="E14">
            <v>850120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10559</v>
          </cell>
          <cell r="Q14">
            <v>200000</v>
          </cell>
          <cell r="R14">
            <v>0</v>
          </cell>
          <cell r="S14">
            <v>0</v>
          </cell>
          <cell r="T14">
            <v>0</v>
          </cell>
          <cell r="U14">
            <v>639561</v>
          </cell>
          <cell r="V14">
            <v>2880.9054054054054</v>
          </cell>
          <cell r="X14">
            <v>10859</v>
          </cell>
          <cell r="Y14">
            <v>200000</v>
          </cell>
          <cell r="Z14">
            <v>0</v>
          </cell>
          <cell r="AA14">
            <v>17282.247157779791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228141.24715777978</v>
          </cell>
          <cell r="AL14">
            <v>219</v>
          </cell>
          <cell r="AM14">
            <v>2837.6918243243244</v>
          </cell>
          <cell r="AN14">
            <v>621454.50952702702</v>
          </cell>
          <cell r="AO14">
            <v>228141.24715777978</v>
          </cell>
          <cell r="AP14">
            <v>849595.75668480678</v>
          </cell>
          <cell r="AQ14">
            <v>2920.7625683418528</v>
          </cell>
          <cell r="AR14">
            <v>639647.00246686582</v>
          </cell>
          <cell r="AS14">
            <v>228141.24715777978</v>
          </cell>
          <cell r="AT14">
            <v>867788.24962464557</v>
          </cell>
          <cell r="AU14">
            <v>843479.30387038726</v>
          </cell>
          <cell r="AV14">
            <v>6116.452814419521</v>
          </cell>
          <cell r="AW14">
            <v>0</v>
          </cell>
          <cell r="AX14">
            <v>0</v>
          </cell>
          <cell r="AY14" t="str">
            <v>FLOOR</v>
          </cell>
          <cell r="AZ14">
            <v>0</v>
          </cell>
          <cell r="BA14">
            <v>0</v>
          </cell>
          <cell r="BB14">
            <v>17282.247157779791</v>
          </cell>
          <cell r="BC14">
            <v>0</v>
          </cell>
          <cell r="BD14">
            <v>0</v>
          </cell>
        </row>
        <row r="15">
          <cell r="A15">
            <v>2018</v>
          </cell>
          <cell r="B15" t="str">
            <v>Clifton Green Primary</v>
          </cell>
          <cell r="D15">
            <v>346</v>
          </cell>
          <cell r="E15">
            <v>1474820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136003</v>
          </cell>
          <cell r="L15">
            <v>0</v>
          </cell>
          <cell r="M15">
            <v>0</v>
          </cell>
          <cell r="N15">
            <v>1596</v>
          </cell>
          <cell r="O15">
            <v>0</v>
          </cell>
          <cell r="P15">
            <v>18435</v>
          </cell>
          <cell r="Q15">
            <v>200000</v>
          </cell>
          <cell r="R15">
            <v>0</v>
          </cell>
          <cell r="S15">
            <v>0</v>
          </cell>
          <cell r="T15">
            <v>0</v>
          </cell>
          <cell r="U15">
            <v>1118786</v>
          </cell>
          <cell r="V15">
            <v>3233.4855491329481</v>
          </cell>
          <cell r="X15">
            <v>18958</v>
          </cell>
          <cell r="Y15">
            <v>200000</v>
          </cell>
          <cell r="Z15">
            <v>0</v>
          </cell>
          <cell r="AA15">
            <v>40501.360593995305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259459.36059399531</v>
          </cell>
          <cell r="AL15">
            <v>359</v>
          </cell>
          <cell r="AM15">
            <v>3184.983265895954</v>
          </cell>
          <cell r="AN15">
            <v>1143408.9924566476</v>
          </cell>
          <cell r="AO15">
            <v>259459.36059399531</v>
          </cell>
          <cell r="AP15">
            <v>1402868.3530506429</v>
          </cell>
          <cell r="AQ15">
            <v>3278.2206383665721</v>
          </cell>
          <cell r="AR15">
            <v>1176881.2091735995</v>
          </cell>
          <cell r="AS15">
            <v>259459.36059399531</v>
          </cell>
          <cell r="AT15">
            <v>1436340.5697675948</v>
          </cell>
          <cell r="AU15">
            <v>1439331.6255143336</v>
          </cell>
          <cell r="AV15">
            <v>0</v>
          </cell>
          <cell r="AW15">
            <v>-2991.0557467387989</v>
          </cell>
          <cell r="AX15">
            <v>0</v>
          </cell>
          <cell r="AY15" t="str">
            <v>CEILING</v>
          </cell>
          <cell r="AZ15">
            <v>0</v>
          </cell>
          <cell r="BA15">
            <v>137599</v>
          </cell>
          <cell r="BB15">
            <v>40501.360593995305</v>
          </cell>
          <cell r="BC15">
            <v>0</v>
          </cell>
          <cell r="BD15">
            <v>0</v>
          </cell>
        </row>
        <row r="16">
          <cell r="A16">
            <v>2430</v>
          </cell>
          <cell r="B16" t="str">
            <v>Clifton With Rawcliffe Primary</v>
          </cell>
          <cell r="D16">
            <v>524</v>
          </cell>
          <cell r="E16">
            <v>1688586.5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101719</v>
          </cell>
          <cell r="L16">
            <v>0</v>
          </cell>
          <cell r="M16">
            <v>0</v>
          </cell>
          <cell r="N16">
            <v>3667</v>
          </cell>
          <cell r="O16">
            <v>0</v>
          </cell>
          <cell r="P16">
            <v>22738</v>
          </cell>
          <cell r="Q16">
            <v>200000</v>
          </cell>
          <cell r="R16">
            <v>0</v>
          </cell>
          <cell r="S16">
            <v>0</v>
          </cell>
          <cell r="T16">
            <v>0</v>
          </cell>
          <cell r="U16">
            <v>1360462.5</v>
          </cell>
          <cell r="V16">
            <v>2596.3024809160306</v>
          </cell>
          <cell r="X16">
            <v>23383</v>
          </cell>
          <cell r="Y16">
            <v>200000</v>
          </cell>
          <cell r="Z16">
            <v>0</v>
          </cell>
          <cell r="AA16">
            <v>29554.094588136893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252937.09458813688</v>
          </cell>
          <cell r="AL16">
            <v>535</v>
          </cell>
          <cell r="AM16">
            <v>2557.35794370229</v>
          </cell>
          <cell r="AN16">
            <v>1368186.4998807251</v>
          </cell>
          <cell r="AO16">
            <v>252937.09458813688</v>
          </cell>
          <cell r="AP16">
            <v>1621123.5944688618</v>
          </cell>
          <cell r="AQ16">
            <v>2632.2221785291531</v>
          </cell>
          <cell r="AR16">
            <v>1408238.8655130968</v>
          </cell>
          <cell r="AS16">
            <v>252937.09458813688</v>
          </cell>
          <cell r="AT16">
            <v>1661175.9601012338</v>
          </cell>
          <cell r="AU16">
            <v>1483421.7430958615</v>
          </cell>
          <cell r="AV16">
            <v>137701.8513730003</v>
          </cell>
          <cell r="AW16">
            <v>0</v>
          </cell>
          <cell r="AX16">
            <v>0</v>
          </cell>
          <cell r="AY16" t="str">
            <v>FLOOR</v>
          </cell>
          <cell r="AZ16">
            <v>0</v>
          </cell>
          <cell r="BA16">
            <v>105386</v>
          </cell>
          <cell r="BB16">
            <v>29554.094588136893</v>
          </cell>
          <cell r="BC16">
            <v>0</v>
          </cell>
          <cell r="BD16">
            <v>0</v>
          </cell>
        </row>
        <row r="17">
          <cell r="A17">
            <v>2013</v>
          </cell>
          <cell r="B17" t="str">
            <v>Copmanthorpe Primary</v>
          </cell>
          <cell r="D17">
            <v>347</v>
          </cell>
          <cell r="E17">
            <v>1065954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8899</v>
          </cell>
          <cell r="O17">
            <v>0</v>
          </cell>
          <cell r="P17">
            <v>15343</v>
          </cell>
          <cell r="Q17">
            <v>200000</v>
          </cell>
          <cell r="R17">
            <v>0</v>
          </cell>
          <cell r="S17">
            <v>0</v>
          </cell>
          <cell r="T17">
            <v>0</v>
          </cell>
          <cell r="U17">
            <v>841712</v>
          </cell>
          <cell r="V17">
            <v>2425.6829971181555</v>
          </cell>
          <cell r="X17">
            <v>15779</v>
          </cell>
          <cell r="Y17">
            <v>200000</v>
          </cell>
          <cell r="Z17">
            <v>0</v>
          </cell>
          <cell r="AA17">
            <v>18734.035922331212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234513.03592233121</v>
          </cell>
          <cell r="AL17">
            <v>348</v>
          </cell>
          <cell r="AM17">
            <v>2389.297752161383</v>
          </cell>
          <cell r="AN17">
            <v>831475.61775216123</v>
          </cell>
          <cell r="AO17">
            <v>234513.03592233121</v>
          </cell>
          <cell r="AP17">
            <v>1065988.6536744924</v>
          </cell>
          <cell r="AQ17">
            <v>2459.2421838470591</v>
          </cell>
          <cell r="AR17">
            <v>855816.27997877658</v>
          </cell>
          <cell r="AS17">
            <v>234513.03592233121</v>
          </cell>
          <cell r="AT17">
            <v>1090329.3159011079</v>
          </cell>
          <cell r="AU17">
            <v>1046515.9083085945</v>
          </cell>
          <cell r="AV17">
            <v>19472.745365897892</v>
          </cell>
          <cell r="AW17">
            <v>0</v>
          </cell>
          <cell r="AX17">
            <v>0</v>
          </cell>
          <cell r="AY17" t="str">
            <v>FLOOR</v>
          </cell>
          <cell r="AZ17">
            <v>0</v>
          </cell>
          <cell r="BA17">
            <v>8899</v>
          </cell>
          <cell r="BB17">
            <v>18734.035922331212</v>
          </cell>
          <cell r="BC17">
            <v>0</v>
          </cell>
          <cell r="BD17">
            <v>0</v>
          </cell>
        </row>
        <row r="18">
          <cell r="A18">
            <v>2006</v>
          </cell>
          <cell r="B18" t="str">
            <v>Derwent Infant</v>
          </cell>
          <cell r="D18">
            <v>43</v>
          </cell>
          <cell r="E18">
            <v>415540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52026</v>
          </cell>
          <cell r="L18">
            <v>0</v>
          </cell>
          <cell r="M18">
            <v>0</v>
          </cell>
          <cell r="N18">
            <v>13119</v>
          </cell>
          <cell r="O18">
            <v>0</v>
          </cell>
          <cell r="P18">
            <v>4334</v>
          </cell>
          <cell r="Q18">
            <v>200000</v>
          </cell>
          <cell r="R18">
            <v>0</v>
          </cell>
          <cell r="S18">
            <v>0</v>
          </cell>
          <cell r="T18">
            <v>0</v>
          </cell>
          <cell r="U18">
            <v>146061</v>
          </cell>
          <cell r="V18">
            <v>3396.7674418604652</v>
          </cell>
          <cell r="X18">
            <v>4450</v>
          </cell>
          <cell r="Y18">
            <v>200000</v>
          </cell>
          <cell r="Z18">
            <v>0</v>
          </cell>
          <cell r="AA18">
            <v>5924.54955176965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210374.54955176965</v>
          </cell>
          <cell r="AL18">
            <v>45</v>
          </cell>
          <cell r="AM18">
            <v>3345.815930232558</v>
          </cell>
          <cell r="AN18">
            <v>150561.71686046512</v>
          </cell>
          <cell r="AO18">
            <v>210374.54955176965</v>
          </cell>
          <cell r="AP18">
            <v>360936.26641223475</v>
          </cell>
          <cell r="AQ18">
            <v>3443.7615268218906</v>
          </cell>
          <cell r="AR18">
            <v>154969.26870698508</v>
          </cell>
          <cell r="AS18">
            <v>210374.54955176965</v>
          </cell>
          <cell r="AT18">
            <v>365343.81825875473</v>
          </cell>
          <cell r="AU18">
            <v>373922.72938530735</v>
          </cell>
          <cell r="AV18">
            <v>0</v>
          </cell>
          <cell r="AW18">
            <v>-8578.9111265526153</v>
          </cell>
          <cell r="AX18">
            <v>0</v>
          </cell>
          <cell r="AY18" t="str">
            <v>CEILING</v>
          </cell>
          <cell r="AZ18">
            <v>0</v>
          </cell>
          <cell r="BA18">
            <v>65145</v>
          </cell>
          <cell r="BB18">
            <v>5924.54955176965</v>
          </cell>
          <cell r="BC18">
            <v>0</v>
          </cell>
          <cell r="BD18">
            <v>0</v>
          </cell>
        </row>
        <row r="19">
          <cell r="A19">
            <v>2005</v>
          </cell>
          <cell r="B19" t="str">
            <v>Derwent Junior</v>
          </cell>
          <cell r="D19">
            <v>66</v>
          </cell>
          <cell r="E19">
            <v>400124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5382</v>
          </cell>
          <cell r="Q19">
            <v>200000</v>
          </cell>
          <cell r="R19">
            <v>0</v>
          </cell>
          <cell r="S19">
            <v>0</v>
          </cell>
          <cell r="T19">
            <v>0</v>
          </cell>
          <cell r="U19">
            <v>194742</v>
          </cell>
          <cell r="V19">
            <v>2950.6363636363635</v>
          </cell>
          <cell r="X19">
            <v>5526</v>
          </cell>
          <cell r="Y19">
            <v>200000</v>
          </cell>
          <cell r="Z19">
            <v>0</v>
          </cell>
          <cell r="AA19">
            <v>5808.0566447756964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211334.0566447757</v>
          </cell>
          <cell r="AL19">
            <v>54</v>
          </cell>
          <cell r="AM19">
            <v>2906.3768181818182</v>
          </cell>
          <cell r="AN19">
            <v>156944.34818181818</v>
          </cell>
          <cell r="AO19">
            <v>211334.0566447757</v>
          </cell>
          <cell r="AP19">
            <v>368278.40482659388</v>
          </cell>
          <cell r="AQ19">
            <v>2991.4582504261907</v>
          </cell>
          <cell r="AR19">
            <v>161538.74552301431</v>
          </cell>
          <cell r="AS19">
            <v>211334.0566447757</v>
          </cell>
          <cell r="AT19">
            <v>372872.80216779001</v>
          </cell>
          <cell r="AU19">
            <v>390503.35999999993</v>
          </cell>
          <cell r="AV19">
            <v>0</v>
          </cell>
          <cell r="AW19">
            <v>-17630.557832209917</v>
          </cell>
          <cell r="AX19">
            <v>0</v>
          </cell>
          <cell r="AY19" t="str">
            <v>CEILING</v>
          </cell>
          <cell r="AZ19">
            <v>0</v>
          </cell>
          <cell r="BA19">
            <v>0</v>
          </cell>
          <cell r="BB19">
            <v>5808.0566447756964</v>
          </cell>
          <cell r="BC19">
            <v>0</v>
          </cell>
          <cell r="BD19">
            <v>0</v>
          </cell>
        </row>
        <row r="20">
          <cell r="A20">
            <v>2007</v>
          </cell>
          <cell r="B20" t="str">
            <v>Dringhouses Primary</v>
          </cell>
          <cell r="D20">
            <v>306</v>
          </cell>
          <cell r="E20">
            <v>976046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17260</v>
          </cell>
          <cell r="O20">
            <v>0</v>
          </cell>
          <cell r="P20">
            <v>16946</v>
          </cell>
          <cell r="Q20">
            <v>200000</v>
          </cell>
          <cell r="R20">
            <v>0</v>
          </cell>
          <cell r="S20">
            <v>0</v>
          </cell>
          <cell r="T20">
            <v>0</v>
          </cell>
          <cell r="U20">
            <v>741840</v>
          </cell>
          <cell r="V20">
            <v>2424.3137254901962</v>
          </cell>
          <cell r="X20">
            <v>17427</v>
          </cell>
          <cell r="Y20">
            <v>200000</v>
          </cell>
          <cell r="Z20">
            <v>0</v>
          </cell>
          <cell r="AA20">
            <v>17358.940818409399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234785.94081840941</v>
          </cell>
          <cell r="AL20">
            <v>295</v>
          </cell>
          <cell r="AM20">
            <v>2387.9490196078432</v>
          </cell>
          <cell r="AN20">
            <v>704444.96078431373</v>
          </cell>
          <cell r="AO20">
            <v>234785.94081840941</v>
          </cell>
          <cell r="AP20">
            <v>939230.90160272317</v>
          </cell>
          <cell r="AQ20">
            <v>2457.8539684237649</v>
          </cell>
          <cell r="AR20">
            <v>725066.92068501061</v>
          </cell>
          <cell r="AS20">
            <v>234785.94081840941</v>
          </cell>
          <cell r="AT20">
            <v>959852.86150342005</v>
          </cell>
          <cell r="AU20">
            <v>938770.59208981215</v>
          </cell>
          <cell r="AV20">
            <v>460.30951291101519</v>
          </cell>
          <cell r="AW20">
            <v>0</v>
          </cell>
          <cell r="AX20">
            <v>0</v>
          </cell>
          <cell r="AY20" t="str">
            <v>FLOOR</v>
          </cell>
          <cell r="AZ20">
            <v>0</v>
          </cell>
          <cell r="BA20">
            <v>17260</v>
          </cell>
          <cell r="BB20">
            <v>17358.940818409399</v>
          </cell>
          <cell r="BC20">
            <v>0</v>
          </cell>
          <cell r="BD20">
            <v>0</v>
          </cell>
        </row>
        <row r="21">
          <cell r="A21">
            <v>3151</v>
          </cell>
          <cell r="B21" t="str">
            <v>Dunnington Primary</v>
          </cell>
          <cell r="D21">
            <v>237</v>
          </cell>
          <cell r="E21">
            <v>791981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26143</v>
          </cell>
          <cell r="O21">
            <v>0</v>
          </cell>
          <cell r="P21">
            <v>16374</v>
          </cell>
          <cell r="Q21">
            <v>200000</v>
          </cell>
          <cell r="R21">
            <v>0</v>
          </cell>
          <cell r="S21">
            <v>0</v>
          </cell>
          <cell r="T21">
            <v>0</v>
          </cell>
          <cell r="U21">
            <v>549464</v>
          </cell>
          <cell r="V21">
            <v>2318.4135021097045</v>
          </cell>
          <cell r="X21">
            <v>16839</v>
          </cell>
          <cell r="Y21">
            <v>200000</v>
          </cell>
          <cell r="Z21">
            <v>0</v>
          </cell>
          <cell r="AA21">
            <v>12304.899189679008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229143.89918967901</v>
          </cell>
          <cell r="AL21">
            <v>248</v>
          </cell>
          <cell r="AM21">
            <v>2283.6372995780589</v>
          </cell>
          <cell r="AN21">
            <v>566342.05029535864</v>
          </cell>
          <cell r="AO21">
            <v>229143.89918967901</v>
          </cell>
          <cell r="AP21">
            <v>795485.94948503771</v>
          </cell>
          <cell r="AQ21">
            <v>2350.4886214573467</v>
          </cell>
          <cell r="AR21">
            <v>582921.17812142195</v>
          </cell>
          <cell r="AS21">
            <v>229143.89918967901</v>
          </cell>
          <cell r="AT21">
            <v>812065.0773111009</v>
          </cell>
          <cell r="AU21">
            <v>780486.18557147228</v>
          </cell>
          <cell r="AV21">
            <v>14999.763913565432</v>
          </cell>
          <cell r="AW21">
            <v>0</v>
          </cell>
          <cell r="AX21">
            <v>0</v>
          </cell>
          <cell r="AY21" t="str">
            <v>FLOOR</v>
          </cell>
          <cell r="AZ21">
            <v>0</v>
          </cell>
          <cell r="BA21">
            <v>26143</v>
          </cell>
          <cell r="BB21">
            <v>12304.899189679008</v>
          </cell>
          <cell r="BC21">
            <v>0</v>
          </cell>
          <cell r="BD21">
            <v>0</v>
          </cell>
        </row>
        <row r="22">
          <cell r="A22">
            <v>3152</v>
          </cell>
          <cell r="B22" t="str">
            <v>Elvington Primary</v>
          </cell>
          <cell r="D22">
            <v>131</v>
          </cell>
          <cell r="E22">
            <v>494875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6599</v>
          </cell>
          <cell r="O22">
            <v>0</v>
          </cell>
          <cell r="P22">
            <v>8473</v>
          </cell>
          <cell r="Q22">
            <v>200000</v>
          </cell>
          <cell r="R22">
            <v>0</v>
          </cell>
          <cell r="S22">
            <v>0</v>
          </cell>
          <cell r="T22">
            <v>0</v>
          </cell>
          <cell r="U22">
            <v>279803</v>
          </cell>
          <cell r="V22">
            <v>2135.9007633587785</v>
          </cell>
          <cell r="X22">
            <v>8714</v>
          </cell>
          <cell r="Y22">
            <v>200000</v>
          </cell>
          <cell r="Z22">
            <v>0</v>
          </cell>
          <cell r="AA22">
            <v>6753.2412686371517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215467.24126863715</v>
          </cell>
          <cell r="AL22">
            <v>135</v>
          </cell>
          <cell r="AM22">
            <v>2103.862251908397</v>
          </cell>
          <cell r="AN22">
            <v>284021.40400763357</v>
          </cell>
          <cell r="AO22">
            <v>215467.24126863715</v>
          </cell>
          <cell r="AP22">
            <v>499488.64527627069</v>
          </cell>
          <cell r="AQ22">
            <v>2165.450829314274</v>
          </cell>
          <cell r="AR22">
            <v>292335.861957427</v>
          </cell>
          <cell r="AS22">
            <v>215467.24126863715</v>
          </cell>
          <cell r="AT22">
            <v>507803.10322606412</v>
          </cell>
          <cell r="AU22">
            <v>523094.73239436618</v>
          </cell>
          <cell r="AV22">
            <v>0</v>
          </cell>
          <cell r="AW22">
            <v>-15291.629168302054</v>
          </cell>
          <cell r="AX22">
            <v>0</v>
          </cell>
          <cell r="AY22" t="str">
            <v>CEILING</v>
          </cell>
          <cell r="AZ22">
            <v>0</v>
          </cell>
          <cell r="BA22">
            <v>6599</v>
          </cell>
          <cell r="BB22">
            <v>6753.2412686371517</v>
          </cell>
          <cell r="BC22">
            <v>0</v>
          </cell>
          <cell r="BD22">
            <v>0</v>
          </cell>
        </row>
        <row r="23">
          <cell r="A23">
            <v>2008</v>
          </cell>
          <cell r="B23" t="str">
            <v>Fishergate Primary</v>
          </cell>
          <cell r="D23">
            <v>200</v>
          </cell>
          <cell r="E23">
            <v>846888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45212</v>
          </cell>
          <cell r="L23">
            <v>0</v>
          </cell>
          <cell r="M23">
            <v>0</v>
          </cell>
          <cell r="N23">
            <v>19884</v>
          </cell>
          <cell r="O23">
            <v>0</v>
          </cell>
          <cell r="P23">
            <v>10992</v>
          </cell>
          <cell r="Q23">
            <v>200000</v>
          </cell>
          <cell r="R23">
            <v>0</v>
          </cell>
          <cell r="S23">
            <v>0</v>
          </cell>
          <cell r="T23">
            <v>0</v>
          </cell>
          <cell r="U23">
            <v>570800</v>
          </cell>
          <cell r="V23">
            <v>2854</v>
          </cell>
          <cell r="X23">
            <v>11304</v>
          </cell>
          <cell r="Y23">
            <v>200000</v>
          </cell>
          <cell r="Z23">
            <v>0</v>
          </cell>
          <cell r="AA23">
            <v>17044.890816673083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228348.89081667308</v>
          </cell>
          <cell r="AL23">
            <v>224</v>
          </cell>
          <cell r="AM23">
            <v>2811.19</v>
          </cell>
          <cell r="AN23">
            <v>629706.56000000006</v>
          </cell>
          <cell r="AO23">
            <v>228348.89081667308</v>
          </cell>
          <cell r="AP23">
            <v>858055.45081667311</v>
          </cell>
          <cell r="AQ23">
            <v>2893.4849281781999</v>
          </cell>
          <cell r="AR23">
            <v>648140.62391191674</v>
          </cell>
          <cell r="AS23">
            <v>228348.89081667308</v>
          </cell>
          <cell r="AT23">
            <v>876489.5147285898</v>
          </cell>
          <cell r="AU23">
            <v>811392.82395148487</v>
          </cell>
          <cell r="AV23">
            <v>46662.626865188242</v>
          </cell>
          <cell r="AW23">
            <v>0</v>
          </cell>
          <cell r="AX23">
            <v>0</v>
          </cell>
          <cell r="AY23" t="str">
            <v>FLOOR</v>
          </cell>
          <cell r="AZ23">
            <v>0</v>
          </cell>
          <cell r="BA23">
            <v>65096</v>
          </cell>
          <cell r="BB23">
            <v>17044.890816673083</v>
          </cell>
          <cell r="BC23">
            <v>0</v>
          </cell>
          <cell r="BD23">
            <v>0</v>
          </cell>
        </row>
        <row r="24">
          <cell r="A24">
            <v>2009</v>
          </cell>
          <cell r="B24" t="str">
            <v>Haxby Road Primary</v>
          </cell>
          <cell r="D24">
            <v>164</v>
          </cell>
          <cell r="E24">
            <v>1196594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83771</v>
          </cell>
          <cell r="L24">
            <v>280144</v>
          </cell>
          <cell r="M24">
            <v>51112</v>
          </cell>
          <cell r="N24">
            <v>0</v>
          </cell>
          <cell r="O24">
            <v>0</v>
          </cell>
          <cell r="P24">
            <v>8519</v>
          </cell>
          <cell r="Q24">
            <v>200000</v>
          </cell>
          <cell r="R24">
            <v>0</v>
          </cell>
          <cell r="S24">
            <v>0</v>
          </cell>
          <cell r="T24">
            <v>0</v>
          </cell>
          <cell r="U24">
            <v>573048</v>
          </cell>
          <cell r="V24">
            <v>3494.1951219512193</v>
          </cell>
          <cell r="X24">
            <v>8761</v>
          </cell>
          <cell r="Y24">
            <v>200000</v>
          </cell>
          <cell r="Z24">
            <v>0</v>
          </cell>
          <cell r="AA24">
            <v>20984.997469622842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229745.99746962285</v>
          </cell>
          <cell r="AL24">
            <v>158</v>
          </cell>
          <cell r="AM24">
            <v>3441.7821951219512</v>
          </cell>
          <cell r="AN24">
            <v>543801.58682926826</v>
          </cell>
          <cell r="AO24">
            <v>229745.99746962285</v>
          </cell>
          <cell r="AP24">
            <v>773547.58429889113</v>
          </cell>
          <cell r="AQ24">
            <v>3542.537113342551</v>
          </cell>
          <cell r="AR24">
            <v>559720.86390812311</v>
          </cell>
          <cell r="AS24">
            <v>229745.99746962285</v>
          </cell>
          <cell r="AT24">
            <v>789466.86137774598</v>
          </cell>
          <cell r="AU24">
            <v>807274.09004088386</v>
          </cell>
          <cell r="AV24">
            <v>0</v>
          </cell>
          <cell r="AW24">
            <v>-17807.228663137881</v>
          </cell>
          <cell r="AX24">
            <v>0</v>
          </cell>
          <cell r="AY24" t="str">
            <v>CEILING</v>
          </cell>
          <cell r="AZ24">
            <v>0</v>
          </cell>
          <cell r="BA24">
            <v>415027</v>
          </cell>
          <cell r="BB24">
            <v>20984.997469622842</v>
          </cell>
          <cell r="BC24">
            <v>0</v>
          </cell>
          <cell r="BD24">
            <v>0</v>
          </cell>
        </row>
        <row r="25">
          <cell r="A25">
            <v>2241</v>
          </cell>
          <cell r="B25" t="str">
            <v>Headlands Primary</v>
          </cell>
          <cell r="D25">
            <v>276</v>
          </cell>
          <cell r="E25">
            <v>861016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7871</v>
          </cell>
          <cell r="O25">
            <v>0</v>
          </cell>
          <cell r="P25">
            <v>13855</v>
          </cell>
          <cell r="Q25">
            <v>200000</v>
          </cell>
          <cell r="R25">
            <v>0</v>
          </cell>
          <cell r="S25">
            <v>0</v>
          </cell>
          <cell r="T25">
            <v>0</v>
          </cell>
          <cell r="U25">
            <v>639290</v>
          </cell>
          <cell r="V25">
            <v>2316.268115942029</v>
          </cell>
          <cell r="X25">
            <v>14248</v>
          </cell>
          <cell r="Y25">
            <v>200000</v>
          </cell>
          <cell r="Z25">
            <v>0</v>
          </cell>
          <cell r="AA25">
            <v>14072.098281691318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228320.09828169132</v>
          </cell>
          <cell r="AL25">
            <v>280</v>
          </cell>
          <cell r="AM25">
            <v>2281.5240942028986</v>
          </cell>
          <cell r="AN25">
            <v>638826.74637681164</v>
          </cell>
          <cell r="AO25">
            <v>228320.09828169132</v>
          </cell>
          <cell r="AP25">
            <v>867146.84465850296</v>
          </cell>
          <cell r="AQ25">
            <v>2348.3135539936848</v>
          </cell>
          <cell r="AR25">
            <v>657527.79511823179</v>
          </cell>
          <cell r="AS25">
            <v>228320.09828169132</v>
          </cell>
          <cell r="AT25">
            <v>885847.89339992311</v>
          </cell>
          <cell r="AU25">
            <v>853878.81216209952</v>
          </cell>
          <cell r="AV25">
            <v>13268.032496403437</v>
          </cell>
          <cell r="AW25">
            <v>0</v>
          </cell>
          <cell r="AX25">
            <v>0</v>
          </cell>
          <cell r="AY25" t="str">
            <v>FLOOR</v>
          </cell>
          <cell r="AZ25">
            <v>0</v>
          </cell>
          <cell r="BA25">
            <v>7871</v>
          </cell>
          <cell r="BB25">
            <v>14072.098281691318</v>
          </cell>
          <cell r="BC25">
            <v>0</v>
          </cell>
          <cell r="BD25">
            <v>0</v>
          </cell>
        </row>
        <row r="26">
          <cell r="A26">
            <v>2001</v>
          </cell>
          <cell r="B26" t="str">
            <v>Hempland Primary</v>
          </cell>
          <cell r="D26">
            <v>416</v>
          </cell>
          <cell r="E26">
            <v>1202948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17290</v>
          </cell>
          <cell r="Q26">
            <v>200000</v>
          </cell>
          <cell r="R26">
            <v>0</v>
          </cell>
          <cell r="S26">
            <v>0</v>
          </cell>
          <cell r="T26">
            <v>0</v>
          </cell>
          <cell r="U26">
            <v>985658</v>
          </cell>
          <cell r="V26">
            <v>2369.3701923076924</v>
          </cell>
          <cell r="X26">
            <v>17781</v>
          </cell>
          <cell r="Y26">
            <v>200000</v>
          </cell>
          <cell r="Z26">
            <v>0</v>
          </cell>
          <cell r="AA26">
            <v>22066.3330555264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239847.3330555264</v>
          </cell>
          <cell r="AL26">
            <v>410</v>
          </cell>
          <cell r="AM26">
            <v>2333.829639423077</v>
          </cell>
          <cell r="AN26">
            <v>956870.15216346155</v>
          </cell>
          <cell r="AO26">
            <v>239847.3330555264</v>
          </cell>
          <cell r="AP26">
            <v>1196717.485218988</v>
          </cell>
          <cell r="AQ26">
            <v>2402.1502945749794</v>
          </cell>
          <cell r="AR26">
            <v>984881.62077574152</v>
          </cell>
          <cell r="AS26">
            <v>239847.3330555264</v>
          </cell>
          <cell r="AT26">
            <v>1224728.953831268</v>
          </cell>
          <cell r="AU26">
            <v>1190316.7025954535</v>
          </cell>
          <cell r="AV26">
            <v>6400.7826235345565</v>
          </cell>
          <cell r="AW26">
            <v>0</v>
          </cell>
          <cell r="AX26">
            <v>0</v>
          </cell>
          <cell r="AY26" t="str">
            <v>FLOOR</v>
          </cell>
          <cell r="AZ26">
            <v>0</v>
          </cell>
          <cell r="BA26">
            <v>0</v>
          </cell>
          <cell r="BB26">
            <v>22066.3330555264</v>
          </cell>
          <cell r="BC26">
            <v>0</v>
          </cell>
          <cell r="BD26">
            <v>0</v>
          </cell>
        </row>
        <row r="27">
          <cell r="A27">
            <v>3302</v>
          </cell>
          <cell r="B27" t="str">
            <v>Heworth CE Primary</v>
          </cell>
          <cell r="D27">
            <v>145</v>
          </cell>
          <cell r="E27">
            <v>550610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31375</v>
          </cell>
          <cell r="O27">
            <v>0</v>
          </cell>
          <cell r="P27">
            <v>0</v>
          </cell>
          <cell r="Q27">
            <v>200000</v>
          </cell>
          <cell r="R27">
            <v>0</v>
          </cell>
          <cell r="S27">
            <v>0</v>
          </cell>
          <cell r="T27">
            <v>0</v>
          </cell>
          <cell r="U27">
            <v>319235</v>
          </cell>
          <cell r="V27">
            <v>2201.6206896551726</v>
          </cell>
          <cell r="X27">
            <v>0</v>
          </cell>
          <cell r="Y27">
            <v>200000</v>
          </cell>
          <cell r="Z27">
            <v>0</v>
          </cell>
          <cell r="AA27">
            <v>7932.4198511252671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207932.41985112528</v>
          </cell>
          <cell r="AL27">
            <v>142</v>
          </cell>
          <cell r="AM27">
            <v>2168.5963793103451</v>
          </cell>
          <cell r="AN27">
            <v>307940.68586206902</v>
          </cell>
          <cell r="AO27">
            <v>207932.41985112528</v>
          </cell>
          <cell r="AP27">
            <v>515873.10571319429</v>
          </cell>
          <cell r="AQ27">
            <v>2232.0799870646588</v>
          </cell>
          <cell r="AR27">
            <v>316955.35816318158</v>
          </cell>
          <cell r="AS27">
            <v>207932.41985112528</v>
          </cell>
          <cell r="AT27">
            <v>524887.77801430691</v>
          </cell>
          <cell r="AU27">
            <v>537248.09534368082</v>
          </cell>
          <cell r="AV27">
            <v>0</v>
          </cell>
          <cell r="AW27">
            <v>-12360.317329373909</v>
          </cell>
          <cell r="AX27">
            <v>0</v>
          </cell>
          <cell r="AY27" t="str">
            <v>CEILING</v>
          </cell>
          <cell r="AZ27">
            <v>0</v>
          </cell>
          <cell r="BA27">
            <v>31375</v>
          </cell>
          <cell r="BB27">
            <v>7932.4198511252671</v>
          </cell>
          <cell r="BC27">
            <v>0</v>
          </cell>
          <cell r="BD27">
            <v>0</v>
          </cell>
        </row>
        <row r="28">
          <cell r="A28">
            <v>2028</v>
          </cell>
          <cell r="B28" t="str">
            <v>Hob Moor Primary</v>
          </cell>
          <cell r="D28">
            <v>260</v>
          </cell>
          <cell r="E28">
            <v>1263985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80780</v>
          </cell>
          <cell r="L28">
            <v>0</v>
          </cell>
          <cell r="M28">
            <v>0</v>
          </cell>
          <cell r="N28">
            <v>1106</v>
          </cell>
          <cell r="O28">
            <v>0</v>
          </cell>
          <cell r="P28">
            <v>31998</v>
          </cell>
          <cell r="Q28">
            <v>200000</v>
          </cell>
          <cell r="R28">
            <v>0</v>
          </cell>
          <cell r="S28">
            <v>0</v>
          </cell>
          <cell r="T28">
            <v>0</v>
          </cell>
          <cell r="U28">
            <v>950101</v>
          </cell>
          <cell r="V28">
            <v>3654.2346153846156</v>
          </cell>
          <cell r="X28">
            <v>32906</v>
          </cell>
          <cell r="Y28">
            <v>200000</v>
          </cell>
          <cell r="Z28">
            <v>0</v>
          </cell>
          <cell r="AA28">
            <v>26641.204338717442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259547.20433871745</v>
          </cell>
          <cell r="AL28">
            <v>267</v>
          </cell>
          <cell r="AM28">
            <v>3599.4210961538465</v>
          </cell>
          <cell r="AN28">
            <v>961045.43267307698</v>
          </cell>
          <cell r="AO28">
            <v>259547.20433871745</v>
          </cell>
          <cell r="AP28">
            <v>1220592.6370117944</v>
          </cell>
          <cell r="AQ28">
            <v>3704.7907440933591</v>
          </cell>
          <cell r="AR28">
            <v>989179.12867292692</v>
          </cell>
          <cell r="AS28">
            <v>259547.20433871745</v>
          </cell>
          <cell r="AT28">
            <v>1248726.3330116444</v>
          </cell>
          <cell r="AU28">
            <v>1211651.5989746039</v>
          </cell>
          <cell r="AV28">
            <v>8941.0380371904466</v>
          </cell>
          <cell r="AW28">
            <v>0</v>
          </cell>
          <cell r="AX28">
            <v>0</v>
          </cell>
          <cell r="AY28" t="str">
            <v>FLOOR</v>
          </cell>
          <cell r="AZ28">
            <v>0</v>
          </cell>
          <cell r="BA28">
            <v>81886</v>
          </cell>
          <cell r="BB28">
            <v>26641.204338717442</v>
          </cell>
          <cell r="BC28">
            <v>0</v>
          </cell>
          <cell r="BD28">
            <v>0</v>
          </cell>
        </row>
        <row r="29">
          <cell r="A29">
            <v>2180</v>
          </cell>
          <cell r="B29" t="str">
            <v>Huntington Primary</v>
          </cell>
          <cell r="D29">
            <v>396</v>
          </cell>
          <cell r="E29">
            <v>1154509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5769</v>
          </cell>
          <cell r="O29">
            <v>0</v>
          </cell>
          <cell r="P29">
            <v>17404</v>
          </cell>
          <cell r="Q29">
            <v>200000</v>
          </cell>
          <cell r="R29">
            <v>0</v>
          </cell>
          <cell r="S29">
            <v>0</v>
          </cell>
          <cell r="T29">
            <v>0</v>
          </cell>
          <cell r="U29">
            <v>931336</v>
          </cell>
          <cell r="V29">
            <v>2351.8585858585857</v>
          </cell>
          <cell r="X29">
            <v>17898</v>
          </cell>
          <cell r="Y29">
            <v>200000</v>
          </cell>
          <cell r="Z29">
            <v>0</v>
          </cell>
          <cell r="AA29">
            <v>26324.031784349638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244222.03178434965</v>
          </cell>
          <cell r="AL29">
            <v>411</v>
          </cell>
          <cell r="AM29">
            <v>2316.5807070707069</v>
          </cell>
          <cell r="AN29">
            <v>952114.67060606054</v>
          </cell>
          <cell r="AO29">
            <v>244222.03178434965</v>
          </cell>
          <cell r="AP29">
            <v>1196336.7023904102</v>
          </cell>
          <cell r="AQ29">
            <v>2384.3964160435576</v>
          </cell>
          <cell r="AR29">
            <v>979986.92699390219</v>
          </cell>
          <cell r="AS29">
            <v>244222.03178434965</v>
          </cell>
          <cell r="AT29">
            <v>1224208.9587782519</v>
          </cell>
          <cell r="AU29">
            <v>1286437.7006548094</v>
          </cell>
          <cell r="AV29">
            <v>0</v>
          </cell>
          <cell r="AW29">
            <v>-62228.741876557469</v>
          </cell>
          <cell r="AX29">
            <v>0</v>
          </cell>
          <cell r="AY29" t="str">
            <v>CEILING</v>
          </cell>
          <cell r="AZ29">
            <v>0</v>
          </cell>
          <cell r="BA29">
            <v>5769</v>
          </cell>
          <cell r="BB29">
            <v>26324.031784349638</v>
          </cell>
          <cell r="BC29">
            <v>0</v>
          </cell>
          <cell r="BD29">
            <v>0</v>
          </cell>
        </row>
        <row r="30">
          <cell r="A30">
            <v>2011</v>
          </cell>
          <cell r="B30" t="str">
            <v>Knavesmire Primary</v>
          </cell>
          <cell r="D30">
            <v>254</v>
          </cell>
          <cell r="E30">
            <v>1024544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119976</v>
          </cell>
          <cell r="L30">
            <v>0</v>
          </cell>
          <cell r="M30">
            <v>0</v>
          </cell>
          <cell r="N30">
            <v>8654</v>
          </cell>
          <cell r="O30">
            <v>0</v>
          </cell>
          <cell r="P30">
            <v>9762</v>
          </cell>
          <cell r="Q30">
            <v>200000</v>
          </cell>
          <cell r="R30">
            <v>0</v>
          </cell>
          <cell r="S30">
            <v>0</v>
          </cell>
          <cell r="T30">
            <v>0</v>
          </cell>
          <cell r="U30">
            <v>686152</v>
          </cell>
          <cell r="V30">
            <v>2701.3858267716537</v>
          </cell>
          <cell r="X30">
            <v>10039</v>
          </cell>
          <cell r="Y30">
            <v>200000</v>
          </cell>
          <cell r="Z30">
            <v>0</v>
          </cell>
          <cell r="AA30">
            <v>16301.317730507737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226340.31773050773</v>
          </cell>
          <cell r="AL30">
            <v>284</v>
          </cell>
          <cell r="AM30">
            <v>2660.8650393700786</v>
          </cell>
          <cell r="AN30">
            <v>755685.67118110228</v>
          </cell>
          <cell r="AO30">
            <v>226340.31773050773</v>
          </cell>
          <cell r="AP30">
            <v>982025.98891160998</v>
          </cell>
          <cell r="AQ30">
            <v>2738.7593465164632</v>
          </cell>
          <cell r="AR30">
            <v>777807.65441067552</v>
          </cell>
          <cell r="AS30">
            <v>226340.31773050773</v>
          </cell>
          <cell r="AT30">
            <v>1004147.9721411832</v>
          </cell>
          <cell r="AU30">
            <v>909577.36152403906</v>
          </cell>
          <cell r="AV30">
            <v>72448.627387570916</v>
          </cell>
          <cell r="AW30">
            <v>0</v>
          </cell>
          <cell r="AX30">
            <v>0</v>
          </cell>
          <cell r="AY30" t="str">
            <v>FLOOR</v>
          </cell>
          <cell r="AZ30">
            <v>0</v>
          </cell>
          <cell r="BA30">
            <v>128630</v>
          </cell>
          <cell r="BB30">
            <v>16301.317730507737</v>
          </cell>
          <cell r="BC30">
            <v>0</v>
          </cell>
          <cell r="BD30">
            <v>0</v>
          </cell>
        </row>
        <row r="31">
          <cell r="A31">
            <v>2428</v>
          </cell>
          <cell r="B31" t="str">
            <v>Lakeside Primary</v>
          </cell>
          <cell r="D31">
            <v>326</v>
          </cell>
          <cell r="E31">
            <v>1034148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2395</v>
          </cell>
          <cell r="O31">
            <v>0</v>
          </cell>
          <cell r="P31">
            <v>24732</v>
          </cell>
          <cell r="Q31">
            <v>200000</v>
          </cell>
          <cell r="R31">
            <v>0</v>
          </cell>
          <cell r="S31">
            <v>0</v>
          </cell>
          <cell r="T31">
            <v>0</v>
          </cell>
          <cell r="U31">
            <v>807021</v>
          </cell>
          <cell r="V31">
            <v>2475.5245398773004</v>
          </cell>
          <cell r="X31">
            <v>25434</v>
          </cell>
          <cell r="Y31">
            <v>200000</v>
          </cell>
          <cell r="Z31">
            <v>0</v>
          </cell>
          <cell r="AA31">
            <v>24007.127271139347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249441.12727113935</v>
          </cell>
          <cell r="AL31">
            <v>327</v>
          </cell>
          <cell r="AM31">
            <v>2438.3916717791408</v>
          </cell>
          <cell r="AN31">
            <v>797354.07667177904</v>
          </cell>
          <cell r="AO31">
            <v>249441.12727113935</v>
          </cell>
          <cell r="AP31">
            <v>1046795.2039429185</v>
          </cell>
          <cell r="AQ31">
            <v>2509.7732815242616</v>
          </cell>
          <cell r="AR31">
            <v>820695.86305843352</v>
          </cell>
          <cell r="AS31">
            <v>249441.12727113935</v>
          </cell>
          <cell r="AT31">
            <v>1070136.9903295729</v>
          </cell>
          <cell r="AU31">
            <v>1096426.5866416981</v>
          </cell>
          <cell r="AV31">
            <v>0</v>
          </cell>
          <cell r="AW31">
            <v>-26289.596312125213</v>
          </cell>
          <cell r="AX31">
            <v>0</v>
          </cell>
          <cell r="AY31" t="str">
            <v>CEILING</v>
          </cell>
          <cell r="AZ31">
            <v>0</v>
          </cell>
          <cell r="BA31">
            <v>2395</v>
          </cell>
          <cell r="BB31">
            <v>24007.127271139347</v>
          </cell>
          <cell r="BC31">
            <v>0</v>
          </cell>
          <cell r="BD31">
            <v>0</v>
          </cell>
        </row>
        <row r="32">
          <cell r="A32">
            <v>3158</v>
          </cell>
          <cell r="B32" t="str">
            <v>Lord Deramore's Primary</v>
          </cell>
          <cell r="D32">
            <v>207</v>
          </cell>
          <cell r="E32">
            <v>712192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9160</v>
          </cell>
          <cell r="Q32">
            <v>200000</v>
          </cell>
          <cell r="R32">
            <v>0</v>
          </cell>
          <cell r="S32">
            <v>0</v>
          </cell>
          <cell r="T32">
            <v>0</v>
          </cell>
          <cell r="U32">
            <v>503032</v>
          </cell>
          <cell r="V32">
            <v>2430.1062801932367</v>
          </cell>
          <cell r="X32">
            <v>9420</v>
          </cell>
          <cell r="Y32">
            <v>200000</v>
          </cell>
          <cell r="Z32">
            <v>0</v>
          </cell>
          <cell r="AA32">
            <v>14269.842247401415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223689.84224740142</v>
          </cell>
          <cell r="AL32">
            <v>205</v>
          </cell>
          <cell r="AM32">
            <v>2393.6546859903383</v>
          </cell>
          <cell r="AN32">
            <v>490699.21062801935</v>
          </cell>
          <cell r="AO32">
            <v>223689.84224740142</v>
          </cell>
          <cell r="AP32">
            <v>714389.05287542078</v>
          </cell>
          <cell r="AQ32">
            <v>2463.7266627926842</v>
          </cell>
          <cell r="AR32">
            <v>505063.96587250027</v>
          </cell>
          <cell r="AS32">
            <v>223689.84224740142</v>
          </cell>
          <cell r="AT32">
            <v>728753.80811990169</v>
          </cell>
          <cell r="AU32">
            <v>715170.97095371713</v>
          </cell>
          <cell r="AV32">
            <v>0</v>
          </cell>
          <cell r="AW32">
            <v>0</v>
          </cell>
          <cell r="AX32">
            <v>0</v>
          </cell>
          <cell r="AY32" t="str">
            <v>TARGET</v>
          </cell>
          <cell r="AZ32">
            <v>0</v>
          </cell>
          <cell r="BA32">
            <v>0</v>
          </cell>
          <cell r="BB32">
            <v>14269.842247401415</v>
          </cell>
          <cell r="BC32">
            <v>0</v>
          </cell>
          <cell r="BD32">
            <v>0</v>
          </cell>
        </row>
        <row r="33">
          <cell r="A33">
            <v>3159</v>
          </cell>
          <cell r="B33" t="str">
            <v>Naburn CE Primary</v>
          </cell>
          <cell r="D33">
            <v>85</v>
          </cell>
          <cell r="E33">
            <v>403238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30071</v>
          </cell>
          <cell r="O33">
            <v>0</v>
          </cell>
          <cell r="P33">
            <v>0</v>
          </cell>
          <cell r="Q33">
            <v>200000</v>
          </cell>
          <cell r="R33">
            <v>0</v>
          </cell>
          <cell r="S33">
            <v>0</v>
          </cell>
          <cell r="T33">
            <v>0</v>
          </cell>
          <cell r="U33">
            <v>173167</v>
          </cell>
          <cell r="V33">
            <v>2037.2588235294118</v>
          </cell>
          <cell r="X33">
            <v>0</v>
          </cell>
          <cell r="Y33">
            <v>200000</v>
          </cell>
          <cell r="Z33">
            <v>0</v>
          </cell>
          <cell r="AA33">
            <v>5180.8950630536592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205180.89506305367</v>
          </cell>
          <cell r="AL33">
            <v>87</v>
          </cell>
          <cell r="AM33">
            <v>2006.6999411764705</v>
          </cell>
          <cell r="AN33">
            <v>174582.89488235294</v>
          </cell>
          <cell r="AO33">
            <v>205180.89506305367</v>
          </cell>
          <cell r="AP33">
            <v>379763.78994540661</v>
          </cell>
          <cell r="AQ33">
            <v>2065.4441838403659</v>
          </cell>
          <cell r="AR33">
            <v>179693.64399411183</v>
          </cell>
          <cell r="AS33">
            <v>205180.89506305367</v>
          </cell>
          <cell r="AT33">
            <v>384874.5390571655</v>
          </cell>
          <cell r="AU33">
            <v>412944.45787234046</v>
          </cell>
          <cell r="AV33">
            <v>0</v>
          </cell>
          <cell r="AW33">
            <v>-28069.918815174955</v>
          </cell>
          <cell r="AX33">
            <v>0</v>
          </cell>
          <cell r="AY33" t="str">
            <v>CEILING</v>
          </cell>
          <cell r="AZ33">
            <v>0</v>
          </cell>
          <cell r="BA33">
            <v>30071</v>
          </cell>
          <cell r="BB33">
            <v>5180.8950630536592</v>
          </cell>
          <cell r="BC33">
            <v>0</v>
          </cell>
          <cell r="BD33">
            <v>0</v>
          </cell>
        </row>
        <row r="34">
          <cell r="A34">
            <v>3901</v>
          </cell>
          <cell r="B34" t="str">
            <v>New Earswick Primary</v>
          </cell>
          <cell r="D34">
            <v>165</v>
          </cell>
          <cell r="E34">
            <v>723701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48916</v>
          </cell>
          <cell r="L34">
            <v>0</v>
          </cell>
          <cell r="M34">
            <v>0</v>
          </cell>
          <cell r="N34">
            <v>7903</v>
          </cell>
          <cell r="O34">
            <v>0</v>
          </cell>
          <cell r="P34">
            <v>0</v>
          </cell>
          <cell r="Q34">
            <v>200000</v>
          </cell>
          <cell r="R34">
            <v>0</v>
          </cell>
          <cell r="S34">
            <v>0</v>
          </cell>
          <cell r="T34">
            <v>0</v>
          </cell>
          <cell r="U34">
            <v>466882</v>
          </cell>
          <cell r="V34">
            <v>2829.5878787878787</v>
          </cell>
          <cell r="X34">
            <v>0</v>
          </cell>
          <cell r="Y34">
            <v>200000</v>
          </cell>
          <cell r="Z34">
            <v>0</v>
          </cell>
          <cell r="AA34">
            <v>14582.06798254541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214582.06798254541</v>
          </cell>
          <cell r="AL34">
            <v>179</v>
          </cell>
          <cell r="AM34">
            <v>2787.1440606060605</v>
          </cell>
          <cell r="AN34">
            <v>498898.78684848483</v>
          </cell>
          <cell r="AO34">
            <v>214582.06798254541</v>
          </cell>
          <cell r="AP34">
            <v>713480.85483103024</v>
          </cell>
          <cell r="AQ34">
            <v>2868.7350666532761</v>
          </cell>
          <cell r="AR34">
            <v>513503.57693093643</v>
          </cell>
          <cell r="AS34">
            <v>214582.06798254541</v>
          </cell>
          <cell r="AT34">
            <v>728085.64491348178</v>
          </cell>
          <cell r="AU34">
            <v>724171.00058265077</v>
          </cell>
          <cell r="AV34">
            <v>0</v>
          </cell>
          <cell r="AW34">
            <v>0</v>
          </cell>
          <cell r="AX34">
            <v>0</v>
          </cell>
          <cell r="AY34" t="str">
            <v>TARGET</v>
          </cell>
          <cell r="AZ34">
            <v>0</v>
          </cell>
          <cell r="BA34">
            <v>56819</v>
          </cell>
          <cell r="BB34">
            <v>14582.06798254541</v>
          </cell>
          <cell r="BC34">
            <v>0</v>
          </cell>
          <cell r="BD34">
            <v>0</v>
          </cell>
        </row>
        <row r="35">
          <cell r="A35">
            <v>2176</v>
          </cell>
          <cell r="B35" t="str">
            <v>Osbaldwick Primary</v>
          </cell>
          <cell r="D35">
            <v>202</v>
          </cell>
          <cell r="E35">
            <v>774525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8473</v>
          </cell>
          <cell r="Q35">
            <v>200000</v>
          </cell>
          <cell r="R35">
            <v>0</v>
          </cell>
          <cell r="S35">
            <v>0</v>
          </cell>
          <cell r="T35">
            <v>0</v>
          </cell>
          <cell r="U35">
            <v>566052</v>
          </cell>
          <cell r="V35">
            <v>2802.2376237623762</v>
          </cell>
          <cell r="X35">
            <v>8714</v>
          </cell>
          <cell r="Y35">
            <v>200000</v>
          </cell>
          <cell r="Z35">
            <v>0</v>
          </cell>
          <cell r="AA35">
            <v>16327.361188504521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225041.36118850452</v>
          </cell>
          <cell r="AL35">
            <v>202</v>
          </cell>
          <cell r="AM35">
            <v>2760.2040594059404</v>
          </cell>
          <cell r="AN35">
            <v>557561.22</v>
          </cell>
          <cell r="AO35">
            <v>225041.36118850452</v>
          </cell>
          <cell r="AP35">
            <v>782602.58118850447</v>
          </cell>
          <cell r="AQ35">
            <v>2841.0064224002554</v>
          </cell>
          <cell r="AR35">
            <v>573883.29732485162</v>
          </cell>
          <cell r="AS35">
            <v>225041.36118850452</v>
          </cell>
          <cell r="AT35">
            <v>798924.65851335612</v>
          </cell>
          <cell r="AU35">
            <v>788786.13430103625</v>
          </cell>
          <cell r="AV35">
            <v>0</v>
          </cell>
          <cell r="AW35">
            <v>0</v>
          </cell>
          <cell r="AX35">
            <v>0</v>
          </cell>
          <cell r="AY35" t="str">
            <v>TARGET</v>
          </cell>
          <cell r="AZ35">
            <v>0</v>
          </cell>
          <cell r="BA35">
            <v>0</v>
          </cell>
          <cell r="BB35">
            <v>16327.361188504521</v>
          </cell>
          <cell r="BC35">
            <v>0</v>
          </cell>
          <cell r="BD35">
            <v>0</v>
          </cell>
        </row>
        <row r="36">
          <cell r="A36">
            <v>3904</v>
          </cell>
          <cell r="B36" t="str">
            <v>Our Lady Queen Of Martyrs RC Primary</v>
          </cell>
          <cell r="D36">
            <v>389</v>
          </cell>
          <cell r="E36">
            <v>1407618.5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70095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200000</v>
          </cell>
          <cell r="R36">
            <v>0</v>
          </cell>
          <cell r="S36">
            <v>0</v>
          </cell>
          <cell r="T36">
            <v>0</v>
          </cell>
          <cell r="U36">
            <v>1137523.5</v>
          </cell>
          <cell r="V36">
            <v>2924.2249357326477</v>
          </cell>
          <cell r="X36">
            <v>0</v>
          </cell>
          <cell r="Y36">
            <v>200000</v>
          </cell>
          <cell r="Z36">
            <v>0</v>
          </cell>
          <cell r="AA36">
            <v>25064.372880197327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225064.37288019733</v>
          </cell>
          <cell r="AL36">
            <v>402</v>
          </cell>
          <cell r="AM36">
            <v>2880.3615616966581</v>
          </cell>
          <cell r="AN36">
            <v>1157905.3478020565</v>
          </cell>
          <cell r="AO36">
            <v>225064.37288019733</v>
          </cell>
          <cell r="AP36">
            <v>1382969.7206822538</v>
          </cell>
          <cell r="AQ36">
            <v>2964.6814219149551</v>
          </cell>
          <cell r="AR36">
            <v>1191801.931609812</v>
          </cell>
          <cell r="AS36">
            <v>225064.37288019733</v>
          </cell>
          <cell r="AT36">
            <v>1416866.3044900093</v>
          </cell>
          <cell r="AU36">
            <v>1201969.6507192389</v>
          </cell>
          <cell r="AV36">
            <v>181000.06996301492</v>
          </cell>
          <cell r="AW36">
            <v>0</v>
          </cell>
          <cell r="AX36">
            <v>0</v>
          </cell>
          <cell r="AY36" t="str">
            <v>FLOOR</v>
          </cell>
          <cell r="AZ36">
            <v>0</v>
          </cell>
          <cell r="BA36">
            <v>70095</v>
          </cell>
          <cell r="BB36">
            <v>25064.372880197327</v>
          </cell>
          <cell r="BC36">
            <v>0</v>
          </cell>
          <cell r="BD36">
            <v>0</v>
          </cell>
        </row>
        <row r="37">
          <cell r="A37">
            <v>2012</v>
          </cell>
          <cell r="B37" t="str">
            <v>Park Grove Primary</v>
          </cell>
          <cell r="D37">
            <v>243</v>
          </cell>
          <cell r="E37">
            <v>907065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14771</v>
          </cell>
          <cell r="Q37">
            <v>200000</v>
          </cell>
          <cell r="R37">
            <v>0</v>
          </cell>
          <cell r="S37">
            <v>0</v>
          </cell>
          <cell r="T37">
            <v>0</v>
          </cell>
          <cell r="U37">
            <v>692294</v>
          </cell>
          <cell r="V37">
            <v>2848.9465020576131</v>
          </cell>
          <cell r="X37">
            <v>15190</v>
          </cell>
          <cell r="Y37">
            <v>200000</v>
          </cell>
          <cell r="Z37">
            <v>0</v>
          </cell>
          <cell r="AA37">
            <v>20795.233236055486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235985.23323605547</v>
          </cell>
          <cell r="AL37">
            <v>261</v>
          </cell>
          <cell r="AM37">
            <v>2806.212304526749</v>
          </cell>
          <cell r="AN37">
            <v>732421.41148148151</v>
          </cell>
          <cell r="AO37">
            <v>235985.23323605547</v>
          </cell>
          <cell r="AP37">
            <v>968406.64471753698</v>
          </cell>
          <cell r="AQ37">
            <v>2888.3615153783135</v>
          </cell>
          <cell r="AR37">
            <v>753862.35551373987</v>
          </cell>
          <cell r="AS37">
            <v>235985.23323605547</v>
          </cell>
          <cell r="AT37">
            <v>989847.58874979534</v>
          </cell>
          <cell r="AU37">
            <v>960299.4079433498</v>
          </cell>
          <cell r="AV37">
            <v>8107.2367741871858</v>
          </cell>
          <cell r="AW37">
            <v>0</v>
          </cell>
          <cell r="AX37">
            <v>0</v>
          </cell>
          <cell r="AY37" t="str">
            <v>FLOOR</v>
          </cell>
          <cell r="AZ37">
            <v>0</v>
          </cell>
          <cell r="BA37">
            <v>0</v>
          </cell>
          <cell r="BB37">
            <v>20795.233236055486</v>
          </cell>
          <cell r="BC37">
            <v>0</v>
          </cell>
          <cell r="BD37">
            <v>0</v>
          </cell>
        </row>
        <row r="38">
          <cell r="A38">
            <v>2029</v>
          </cell>
          <cell r="B38" t="str">
            <v>Poppleton Ousebank Primary</v>
          </cell>
          <cell r="D38">
            <v>387</v>
          </cell>
          <cell r="E38">
            <v>1231537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88304</v>
          </cell>
          <cell r="L38">
            <v>0</v>
          </cell>
          <cell r="M38">
            <v>0</v>
          </cell>
          <cell r="N38">
            <v>32</v>
          </cell>
          <cell r="O38">
            <v>0</v>
          </cell>
          <cell r="P38">
            <v>17061</v>
          </cell>
          <cell r="Q38">
            <v>200000</v>
          </cell>
          <cell r="R38">
            <v>0</v>
          </cell>
          <cell r="S38">
            <v>0</v>
          </cell>
          <cell r="T38">
            <v>0</v>
          </cell>
          <cell r="U38">
            <v>926140</v>
          </cell>
          <cell r="V38">
            <v>2393.1266149870803</v>
          </cell>
          <cell r="X38">
            <v>17545</v>
          </cell>
          <cell r="Y38">
            <v>200000</v>
          </cell>
          <cell r="Z38">
            <v>0</v>
          </cell>
          <cell r="AA38">
            <v>20812.062022588467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238357.06202258848</v>
          </cell>
          <cell r="AL38">
            <v>419</v>
          </cell>
          <cell r="AM38">
            <v>2357.2297157622743</v>
          </cell>
          <cell r="AN38">
            <v>987679.25090439292</v>
          </cell>
          <cell r="AO38">
            <v>238357.06202258848</v>
          </cell>
          <cell r="AP38">
            <v>1226036.3129269814</v>
          </cell>
          <cell r="AQ38">
            <v>2426.2353860151475</v>
          </cell>
          <cell r="AR38">
            <v>1016592.6267403468</v>
          </cell>
          <cell r="AS38">
            <v>238357.06202258848</v>
          </cell>
          <cell r="AT38">
            <v>1254949.6887629353</v>
          </cell>
          <cell r="AU38">
            <v>1166397.1847506585</v>
          </cell>
          <cell r="AV38">
            <v>59639.128176322905</v>
          </cell>
          <cell r="AW38">
            <v>0</v>
          </cell>
          <cell r="AX38">
            <v>0</v>
          </cell>
          <cell r="AY38" t="str">
            <v>FLOOR</v>
          </cell>
          <cell r="AZ38">
            <v>0</v>
          </cell>
          <cell r="BA38">
            <v>88336</v>
          </cell>
          <cell r="BB38">
            <v>20812.062022588467</v>
          </cell>
          <cell r="BC38">
            <v>0</v>
          </cell>
          <cell r="BD38">
            <v>0</v>
          </cell>
        </row>
        <row r="39">
          <cell r="A39">
            <v>2014</v>
          </cell>
          <cell r="B39" t="str">
            <v>Poppleton Road Primary</v>
          </cell>
          <cell r="D39">
            <v>379</v>
          </cell>
          <cell r="E39">
            <v>1243805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553</v>
          </cell>
          <cell r="O39">
            <v>0</v>
          </cell>
          <cell r="P39">
            <v>15458</v>
          </cell>
          <cell r="Q39">
            <v>200000</v>
          </cell>
          <cell r="R39">
            <v>0</v>
          </cell>
          <cell r="S39">
            <v>0</v>
          </cell>
          <cell r="T39">
            <v>0</v>
          </cell>
          <cell r="U39">
            <v>1027794</v>
          </cell>
          <cell r="V39">
            <v>2711.8575197889181</v>
          </cell>
          <cell r="X39">
            <v>15897</v>
          </cell>
          <cell r="Y39">
            <v>200000</v>
          </cell>
          <cell r="Z39">
            <v>0</v>
          </cell>
          <cell r="AA39">
            <v>26033.608612644559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241930.60861264454</v>
          </cell>
          <cell r="AL39">
            <v>384</v>
          </cell>
          <cell r="AM39">
            <v>2671.1796569920843</v>
          </cell>
          <cell r="AN39">
            <v>1025732.9882849604</v>
          </cell>
          <cell r="AO39">
            <v>241930.60861264454</v>
          </cell>
          <cell r="AP39">
            <v>1267663.5968976049</v>
          </cell>
          <cell r="AQ39">
            <v>2749.3759148128765</v>
          </cell>
          <cell r="AR39">
            <v>1055760.3512881445</v>
          </cell>
          <cell r="AS39">
            <v>241930.60861264454</v>
          </cell>
          <cell r="AT39">
            <v>1297690.959900789</v>
          </cell>
          <cell r="AU39">
            <v>1243847.7234871793</v>
          </cell>
          <cell r="AV39">
            <v>23815.873410425615</v>
          </cell>
          <cell r="AW39">
            <v>0</v>
          </cell>
          <cell r="AX39">
            <v>0</v>
          </cell>
          <cell r="AY39" t="str">
            <v>FLOOR</v>
          </cell>
          <cell r="AZ39">
            <v>0</v>
          </cell>
          <cell r="BA39">
            <v>553</v>
          </cell>
          <cell r="BB39">
            <v>26033.608612644559</v>
          </cell>
          <cell r="BC39">
            <v>0</v>
          </cell>
          <cell r="BD39">
            <v>0</v>
          </cell>
        </row>
        <row r="40">
          <cell r="A40">
            <v>2058</v>
          </cell>
          <cell r="B40" t="str">
            <v>Ralph Butterfield Primary</v>
          </cell>
          <cell r="D40">
            <v>301</v>
          </cell>
          <cell r="E40">
            <v>909537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3959</v>
          </cell>
          <cell r="O40">
            <v>0</v>
          </cell>
          <cell r="P40">
            <v>15229</v>
          </cell>
          <cell r="Q40">
            <v>200000</v>
          </cell>
          <cell r="R40">
            <v>0</v>
          </cell>
          <cell r="S40">
            <v>0</v>
          </cell>
          <cell r="T40">
            <v>0</v>
          </cell>
          <cell r="U40">
            <v>690349</v>
          </cell>
          <cell r="V40">
            <v>2293.5182724252491</v>
          </cell>
          <cell r="X40">
            <v>15661</v>
          </cell>
          <cell r="Y40">
            <v>200000</v>
          </cell>
          <cell r="Z40">
            <v>0</v>
          </cell>
          <cell r="AA40">
            <v>15682.494327984179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231343.49432798417</v>
          </cell>
          <cell r="AL40">
            <v>310</v>
          </cell>
          <cell r="AM40">
            <v>2259.1154983388701</v>
          </cell>
          <cell r="AN40">
            <v>700325.80448504968</v>
          </cell>
          <cell r="AO40">
            <v>231343.49432798417</v>
          </cell>
          <cell r="AP40">
            <v>931669.29881303385</v>
          </cell>
          <cell r="AQ40">
            <v>2325.2489676817663</v>
          </cell>
          <cell r="AR40">
            <v>720827.17998134752</v>
          </cell>
          <cell r="AS40">
            <v>231343.49432798417</v>
          </cell>
          <cell r="AT40">
            <v>952170.67430933169</v>
          </cell>
          <cell r="AU40">
            <v>928963.35046978807</v>
          </cell>
          <cell r="AV40">
            <v>2705.9483432457782</v>
          </cell>
          <cell r="AW40">
            <v>0</v>
          </cell>
          <cell r="AX40">
            <v>0</v>
          </cell>
          <cell r="AY40" t="str">
            <v>FLOOR</v>
          </cell>
          <cell r="AZ40">
            <v>0</v>
          </cell>
          <cell r="BA40">
            <v>3959</v>
          </cell>
          <cell r="BB40">
            <v>15682.494327984179</v>
          </cell>
          <cell r="BC40">
            <v>0</v>
          </cell>
          <cell r="BD40">
            <v>0</v>
          </cell>
        </row>
        <row r="41">
          <cell r="A41">
            <v>3212</v>
          </cell>
          <cell r="B41" t="str">
            <v>Robert Wilkinson Primary</v>
          </cell>
          <cell r="D41">
            <v>564</v>
          </cell>
          <cell r="E41">
            <v>1665724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3928</v>
          </cell>
          <cell r="O41">
            <v>0</v>
          </cell>
          <cell r="P41">
            <v>45800</v>
          </cell>
          <cell r="Q41">
            <v>200000</v>
          </cell>
          <cell r="R41">
            <v>0</v>
          </cell>
          <cell r="S41">
            <v>0</v>
          </cell>
          <cell r="T41">
            <v>0</v>
          </cell>
          <cell r="U41">
            <v>1415996</v>
          </cell>
          <cell r="V41">
            <v>2510.6312056737588</v>
          </cell>
          <cell r="X41">
            <v>47100</v>
          </cell>
          <cell r="Y41">
            <v>200000</v>
          </cell>
          <cell r="Z41">
            <v>0</v>
          </cell>
          <cell r="AA41">
            <v>33172.446205480184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280272.4462054802</v>
          </cell>
          <cell r="AL41">
            <v>576</v>
          </cell>
          <cell r="AM41">
            <v>2472.9717375886526</v>
          </cell>
          <cell r="AN41">
            <v>1424431.720851064</v>
          </cell>
          <cell r="AO41">
            <v>280272.4462054802</v>
          </cell>
          <cell r="AP41">
            <v>1704704.1670565442</v>
          </cell>
          <cell r="AQ41">
            <v>2545.3656460514658</v>
          </cell>
          <cell r="AR41">
            <v>1466130.6121256442</v>
          </cell>
          <cell r="AS41">
            <v>280272.4462054802</v>
          </cell>
          <cell r="AT41">
            <v>1746403.0583311245</v>
          </cell>
          <cell r="AU41">
            <v>1668058.7658522662</v>
          </cell>
          <cell r="AV41">
            <v>36645.401204277994</v>
          </cell>
          <cell r="AW41">
            <v>0</v>
          </cell>
          <cell r="AX41">
            <v>0</v>
          </cell>
          <cell r="AY41" t="str">
            <v>FLOOR</v>
          </cell>
          <cell r="AZ41">
            <v>0</v>
          </cell>
          <cell r="BA41">
            <v>3928</v>
          </cell>
          <cell r="BB41">
            <v>33172.446205480184</v>
          </cell>
          <cell r="BC41">
            <v>0</v>
          </cell>
          <cell r="BD41">
            <v>0</v>
          </cell>
        </row>
        <row r="42">
          <cell r="A42">
            <v>2349</v>
          </cell>
          <cell r="B42" t="str">
            <v>Rufforth Primary</v>
          </cell>
          <cell r="D42">
            <v>69</v>
          </cell>
          <cell r="E42">
            <v>396664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31375</v>
          </cell>
          <cell r="O42">
            <v>0</v>
          </cell>
          <cell r="P42">
            <v>0</v>
          </cell>
          <cell r="Q42">
            <v>200000</v>
          </cell>
          <cell r="R42">
            <v>0</v>
          </cell>
          <cell r="S42">
            <v>0</v>
          </cell>
          <cell r="T42">
            <v>0</v>
          </cell>
          <cell r="U42">
            <v>165289</v>
          </cell>
          <cell r="V42">
            <v>2395.4927536231885</v>
          </cell>
          <cell r="X42">
            <v>0</v>
          </cell>
          <cell r="Y42">
            <v>200000</v>
          </cell>
          <cell r="Z42">
            <v>0</v>
          </cell>
          <cell r="AA42">
            <v>3627.613657874218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203627.61365787423</v>
          </cell>
          <cell r="AL42">
            <v>71</v>
          </cell>
          <cell r="AM42">
            <v>2359.5603623188408</v>
          </cell>
          <cell r="AN42">
            <v>167528.78572463771</v>
          </cell>
          <cell r="AO42">
            <v>203627.61365787423</v>
          </cell>
          <cell r="AP42">
            <v>371156.39938251197</v>
          </cell>
          <cell r="AQ42">
            <v>2428.6342600451262</v>
          </cell>
          <cell r="AR42">
            <v>172433.03246320397</v>
          </cell>
          <cell r="AS42">
            <v>203627.61365787423</v>
          </cell>
          <cell r="AT42">
            <v>376060.64612107817</v>
          </cell>
          <cell r="AU42">
            <v>364736.358974359</v>
          </cell>
          <cell r="AV42">
            <v>6420.0404081529705</v>
          </cell>
          <cell r="AW42">
            <v>0</v>
          </cell>
          <cell r="AX42">
            <v>0</v>
          </cell>
          <cell r="AY42" t="str">
            <v>FLOOR</v>
          </cell>
          <cell r="AZ42">
            <v>0</v>
          </cell>
          <cell r="BA42">
            <v>31375</v>
          </cell>
          <cell r="BB42">
            <v>3627.613657874218</v>
          </cell>
          <cell r="BC42">
            <v>0</v>
          </cell>
          <cell r="BD42">
            <v>0</v>
          </cell>
        </row>
        <row r="43">
          <cell r="A43">
            <v>2016</v>
          </cell>
          <cell r="B43" t="str">
            <v>Scarcroft Primary</v>
          </cell>
          <cell r="D43">
            <v>324</v>
          </cell>
          <cell r="E43">
            <v>1064370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47</v>
          </cell>
          <cell r="O43">
            <v>0</v>
          </cell>
          <cell r="P43">
            <v>13282</v>
          </cell>
          <cell r="Q43">
            <v>200000</v>
          </cell>
          <cell r="R43">
            <v>0</v>
          </cell>
          <cell r="S43">
            <v>0</v>
          </cell>
          <cell r="T43">
            <v>0</v>
          </cell>
          <cell r="U43">
            <v>851041</v>
          </cell>
          <cell r="V43">
            <v>2626.6697530864199</v>
          </cell>
          <cell r="X43">
            <v>13659</v>
          </cell>
          <cell r="Y43">
            <v>200000</v>
          </cell>
          <cell r="Z43">
            <v>0</v>
          </cell>
          <cell r="AA43">
            <v>23068.431047680326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236727.43104768032</v>
          </cell>
          <cell r="AL43">
            <v>323</v>
          </cell>
          <cell r="AM43">
            <v>2587.2697067901236</v>
          </cell>
          <cell r="AN43">
            <v>835688.11529320991</v>
          </cell>
          <cell r="AO43">
            <v>236727.43104768032</v>
          </cell>
          <cell r="AP43">
            <v>1072415.5463408902</v>
          </cell>
          <cell r="AQ43">
            <v>2663.0095801881953</v>
          </cell>
          <cell r="AR43">
            <v>860152.09440078703</v>
          </cell>
          <cell r="AS43">
            <v>236727.43104768032</v>
          </cell>
          <cell r="AT43">
            <v>1096879.5254484673</v>
          </cell>
          <cell r="AU43">
            <v>1084133.7062684607</v>
          </cell>
          <cell r="AV43">
            <v>0</v>
          </cell>
          <cell r="AW43">
            <v>0</v>
          </cell>
          <cell r="AX43">
            <v>0</v>
          </cell>
          <cell r="AY43" t="str">
            <v>TARGET</v>
          </cell>
          <cell r="AZ43">
            <v>0</v>
          </cell>
          <cell r="BA43">
            <v>47</v>
          </cell>
          <cell r="BB43">
            <v>23068.431047680326</v>
          </cell>
          <cell r="BC43">
            <v>0</v>
          </cell>
          <cell r="BD43">
            <v>0</v>
          </cell>
        </row>
        <row r="44">
          <cell r="A44">
            <v>2169</v>
          </cell>
          <cell r="B44" t="str">
            <v>Skelton Primary</v>
          </cell>
          <cell r="D44">
            <v>84</v>
          </cell>
          <cell r="E44">
            <v>457531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27463</v>
          </cell>
          <cell r="O44">
            <v>0</v>
          </cell>
          <cell r="P44">
            <v>5729</v>
          </cell>
          <cell r="Q44">
            <v>200000</v>
          </cell>
          <cell r="R44">
            <v>0</v>
          </cell>
          <cell r="S44">
            <v>0</v>
          </cell>
          <cell r="T44">
            <v>0</v>
          </cell>
          <cell r="U44">
            <v>224339</v>
          </cell>
          <cell r="V44">
            <v>2670.7023809523807</v>
          </cell>
          <cell r="X44">
            <v>5882</v>
          </cell>
          <cell r="Y44">
            <v>200000</v>
          </cell>
          <cell r="Z44">
            <v>0</v>
          </cell>
          <cell r="AA44">
            <v>7002.264586234156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212884.26458623415</v>
          </cell>
          <cell r="AL44">
            <v>103</v>
          </cell>
          <cell r="AM44">
            <v>2630.6418452380949</v>
          </cell>
          <cell r="AN44">
            <v>270956.11005952378</v>
          </cell>
          <cell r="AO44">
            <v>212884.26458623415</v>
          </cell>
          <cell r="AP44">
            <v>483840.37464575795</v>
          </cell>
          <cell r="AQ44">
            <v>2707.6513969640318</v>
          </cell>
          <cell r="AR44">
            <v>278888.09388729528</v>
          </cell>
          <cell r="AS44">
            <v>212884.26458623415</v>
          </cell>
          <cell r="AT44">
            <v>491772.35847352946</v>
          </cell>
          <cell r="AU44">
            <v>481760.14285714296</v>
          </cell>
          <cell r="AV44">
            <v>2080.2317886149976</v>
          </cell>
          <cell r="AW44">
            <v>0</v>
          </cell>
          <cell r="AX44">
            <v>0</v>
          </cell>
          <cell r="AY44" t="str">
            <v>FLOOR</v>
          </cell>
          <cell r="AZ44">
            <v>0</v>
          </cell>
          <cell r="BA44">
            <v>27463</v>
          </cell>
          <cell r="BB44">
            <v>7002.264586234156</v>
          </cell>
          <cell r="BC44">
            <v>0</v>
          </cell>
          <cell r="BD44">
            <v>0</v>
          </cell>
        </row>
        <row r="45">
          <cell r="A45">
            <v>3401</v>
          </cell>
          <cell r="B45" t="str">
            <v>St. Aelred's RC Primary</v>
          </cell>
          <cell r="D45">
            <v>190</v>
          </cell>
          <cell r="E45">
            <v>704778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46785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200000</v>
          </cell>
          <cell r="R45">
            <v>0</v>
          </cell>
          <cell r="S45">
            <v>0</v>
          </cell>
          <cell r="T45">
            <v>0</v>
          </cell>
          <cell r="U45">
            <v>457993</v>
          </cell>
          <cell r="V45">
            <v>2410.4894736842107</v>
          </cell>
          <cell r="X45">
            <v>0</v>
          </cell>
          <cell r="Y45">
            <v>200000</v>
          </cell>
          <cell r="Z45">
            <v>0</v>
          </cell>
          <cell r="AA45">
            <v>14696.08969608643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214696.08969608642</v>
          </cell>
          <cell r="AL45">
            <v>189</v>
          </cell>
          <cell r="AM45">
            <v>2374.3321315789476</v>
          </cell>
          <cell r="AN45">
            <v>448748.7728684211</v>
          </cell>
          <cell r="AO45">
            <v>214696.08969608642</v>
          </cell>
          <cell r="AP45">
            <v>663444.86256450752</v>
          </cell>
          <cell r="AQ45">
            <v>2443.8384588778786</v>
          </cell>
          <cell r="AR45">
            <v>461885.46872791904</v>
          </cell>
          <cell r="AS45">
            <v>214696.08969608642</v>
          </cell>
          <cell r="AT45">
            <v>676581.55842400552</v>
          </cell>
          <cell r="AU45">
            <v>738013.15002747776</v>
          </cell>
          <cell r="AV45">
            <v>0</v>
          </cell>
          <cell r="AW45">
            <v>-61431.591603472247</v>
          </cell>
          <cell r="AX45">
            <v>0</v>
          </cell>
          <cell r="AY45" t="str">
            <v>CEILING</v>
          </cell>
          <cell r="AZ45">
            <v>0</v>
          </cell>
          <cell r="BA45">
            <v>46785</v>
          </cell>
          <cell r="BB45">
            <v>14696.08969608643</v>
          </cell>
          <cell r="BC45">
            <v>0</v>
          </cell>
          <cell r="BD45">
            <v>0</v>
          </cell>
        </row>
        <row r="46">
          <cell r="A46">
            <v>3002</v>
          </cell>
          <cell r="B46" t="str">
            <v>St. Barnabas' CE Primary</v>
          </cell>
          <cell r="D46">
            <v>141</v>
          </cell>
          <cell r="E46">
            <v>747860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24855</v>
          </cell>
          <cell r="O46">
            <v>0</v>
          </cell>
          <cell r="P46">
            <v>18427</v>
          </cell>
          <cell r="Q46">
            <v>200000</v>
          </cell>
          <cell r="R46">
            <v>0</v>
          </cell>
          <cell r="S46">
            <v>0</v>
          </cell>
          <cell r="T46">
            <v>0</v>
          </cell>
          <cell r="U46">
            <v>504578</v>
          </cell>
          <cell r="V46">
            <v>3578.567375886525</v>
          </cell>
          <cell r="X46">
            <v>18950</v>
          </cell>
          <cell r="Y46">
            <v>200000</v>
          </cell>
          <cell r="Z46">
            <v>0</v>
          </cell>
          <cell r="AA46">
            <v>12719.614384400722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231669.61438440072</v>
          </cell>
          <cell r="AL46">
            <v>145</v>
          </cell>
          <cell r="AM46">
            <v>3524.8888652482269</v>
          </cell>
          <cell r="AN46">
            <v>511108.88546099293</v>
          </cell>
          <cell r="AO46">
            <v>231669.61438440072</v>
          </cell>
          <cell r="AP46">
            <v>742778.4998453937</v>
          </cell>
          <cell r="AQ46">
            <v>3628.076652627145</v>
          </cell>
          <cell r="AR46">
            <v>526071.11463093606</v>
          </cell>
          <cell r="AS46">
            <v>231669.61438440072</v>
          </cell>
          <cell r="AT46">
            <v>757740.72901533684</v>
          </cell>
          <cell r="AU46">
            <v>772986.24211244797</v>
          </cell>
          <cell r="AV46">
            <v>0</v>
          </cell>
          <cell r="AW46">
            <v>-15245.513097111136</v>
          </cell>
          <cell r="AX46">
            <v>0</v>
          </cell>
          <cell r="AY46" t="str">
            <v>CEILING</v>
          </cell>
          <cell r="AZ46">
            <v>0</v>
          </cell>
          <cell r="BA46">
            <v>24855</v>
          </cell>
          <cell r="BB46">
            <v>12719.614384400722</v>
          </cell>
          <cell r="BC46">
            <v>0</v>
          </cell>
          <cell r="BD46">
            <v>0</v>
          </cell>
        </row>
        <row r="47">
          <cell r="A47">
            <v>3402</v>
          </cell>
          <cell r="B47" t="str">
            <v>St. George's RC Primary</v>
          </cell>
          <cell r="D47">
            <v>166</v>
          </cell>
          <cell r="E47">
            <v>737792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49662</v>
          </cell>
          <cell r="L47">
            <v>0</v>
          </cell>
          <cell r="M47">
            <v>0</v>
          </cell>
          <cell r="N47">
            <v>7903</v>
          </cell>
          <cell r="O47">
            <v>0</v>
          </cell>
          <cell r="P47">
            <v>0</v>
          </cell>
          <cell r="Q47">
            <v>200000</v>
          </cell>
          <cell r="R47">
            <v>0</v>
          </cell>
          <cell r="S47">
            <v>0</v>
          </cell>
          <cell r="T47">
            <v>0</v>
          </cell>
          <cell r="U47">
            <v>480227</v>
          </cell>
          <cell r="V47">
            <v>2892.9337349397592</v>
          </cell>
          <cell r="X47">
            <v>0</v>
          </cell>
          <cell r="Y47">
            <v>200000</v>
          </cell>
          <cell r="Z47">
            <v>0</v>
          </cell>
          <cell r="AA47">
            <v>18399.331829057304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218399.33182905731</v>
          </cell>
          <cell r="AL47">
            <v>176</v>
          </cell>
          <cell r="AM47">
            <v>2849.5397289156626</v>
          </cell>
          <cell r="AN47">
            <v>501518.99228915665</v>
          </cell>
          <cell r="AO47">
            <v>218399.33182905731</v>
          </cell>
          <cell r="AP47">
            <v>719918.32411821396</v>
          </cell>
          <cell r="AQ47">
            <v>2932.9573091333082</v>
          </cell>
          <cell r="AR47">
            <v>516200.48640746222</v>
          </cell>
          <cell r="AS47">
            <v>218399.33182905731</v>
          </cell>
          <cell r="AT47">
            <v>734599.81823651958</v>
          </cell>
          <cell r="AU47">
            <v>743731.43313069886</v>
          </cell>
          <cell r="AV47">
            <v>0</v>
          </cell>
          <cell r="AW47">
            <v>-9131.6148941792781</v>
          </cell>
          <cell r="AX47">
            <v>0</v>
          </cell>
          <cell r="AY47" t="str">
            <v>CEILING</v>
          </cell>
          <cell r="AZ47">
            <v>0</v>
          </cell>
          <cell r="BA47">
            <v>57565</v>
          </cell>
          <cell r="BB47">
            <v>18399.331829057304</v>
          </cell>
          <cell r="BC47">
            <v>0</v>
          </cell>
          <cell r="BD47">
            <v>0</v>
          </cell>
        </row>
        <row r="48">
          <cell r="A48">
            <v>3305</v>
          </cell>
          <cell r="B48" t="str">
            <v>St. Lawrence's CE Primary</v>
          </cell>
          <cell r="D48">
            <v>178</v>
          </cell>
          <cell r="E48">
            <v>832321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90782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200000</v>
          </cell>
          <cell r="R48">
            <v>0</v>
          </cell>
          <cell r="S48">
            <v>0</v>
          </cell>
          <cell r="T48">
            <v>0</v>
          </cell>
          <cell r="U48">
            <v>541539</v>
          </cell>
          <cell r="V48">
            <v>3042.3539325842698</v>
          </cell>
          <cell r="X48">
            <v>0</v>
          </cell>
          <cell r="Y48">
            <v>200000</v>
          </cell>
          <cell r="Z48">
            <v>0</v>
          </cell>
          <cell r="AA48">
            <v>20223.549198141529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220223.54919814153</v>
          </cell>
          <cell r="AL48">
            <v>188</v>
          </cell>
          <cell r="AM48">
            <v>2996.718623595506</v>
          </cell>
          <cell r="AN48">
            <v>563383.10123595514</v>
          </cell>
          <cell r="AO48">
            <v>220223.54919814153</v>
          </cell>
          <cell r="AP48">
            <v>783606.65043409669</v>
          </cell>
          <cell r="AQ48">
            <v>3084.4447267401051</v>
          </cell>
          <cell r="AR48">
            <v>579875.60862713971</v>
          </cell>
          <cell r="AS48">
            <v>220223.54919814153</v>
          </cell>
          <cell r="AT48">
            <v>800099.15782528126</v>
          </cell>
          <cell r="AU48">
            <v>804535.38348402653</v>
          </cell>
          <cell r="AV48">
            <v>0</v>
          </cell>
          <cell r="AW48">
            <v>-4436.2256587452721</v>
          </cell>
          <cell r="AX48">
            <v>0</v>
          </cell>
          <cell r="AY48" t="str">
            <v>CEILING</v>
          </cell>
          <cell r="AZ48">
            <v>0</v>
          </cell>
          <cell r="BA48">
            <v>90782</v>
          </cell>
          <cell r="BB48">
            <v>20223.549198141529</v>
          </cell>
          <cell r="BC48">
            <v>0</v>
          </cell>
          <cell r="BD48">
            <v>0</v>
          </cell>
        </row>
        <row r="49">
          <cell r="A49">
            <v>3222</v>
          </cell>
          <cell r="B49" t="str">
            <v>St. Mary's CE Primary</v>
          </cell>
          <cell r="D49">
            <v>105</v>
          </cell>
          <cell r="E49">
            <v>433971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14423</v>
          </cell>
          <cell r="O49">
            <v>0</v>
          </cell>
          <cell r="P49">
            <v>0</v>
          </cell>
          <cell r="Q49">
            <v>200000</v>
          </cell>
          <cell r="R49">
            <v>0</v>
          </cell>
          <cell r="S49">
            <v>0</v>
          </cell>
          <cell r="T49">
            <v>0</v>
          </cell>
          <cell r="U49">
            <v>219548</v>
          </cell>
          <cell r="V49">
            <v>2090.9333333333334</v>
          </cell>
          <cell r="X49">
            <v>0</v>
          </cell>
          <cell r="Y49">
            <v>200000</v>
          </cell>
          <cell r="Z49">
            <v>0</v>
          </cell>
          <cell r="AA49">
            <v>5612.8614974449392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205612.86149744494</v>
          </cell>
          <cell r="AL49">
            <v>106</v>
          </cell>
          <cell r="AM49">
            <v>2059.5693333333334</v>
          </cell>
          <cell r="AN49">
            <v>218314.34933333335</v>
          </cell>
          <cell r="AO49">
            <v>205612.86149744494</v>
          </cell>
          <cell r="AP49">
            <v>423927.21083077829</v>
          </cell>
          <cell r="AQ49">
            <v>2119.8612774440803</v>
          </cell>
          <cell r="AR49">
            <v>224705.29540907251</v>
          </cell>
          <cell r="AS49">
            <v>205612.86149744494</v>
          </cell>
          <cell r="AT49">
            <v>430318.15690651746</v>
          </cell>
          <cell r="AU49">
            <v>451721.15254237287</v>
          </cell>
          <cell r="AV49">
            <v>0</v>
          </cell>
          <cell r="AW49">
            <v>-21402.995635855419</v>
          </cell>
          <cell r="AX49">
            <v>0</v>
          </cell>
          <cell r="AY49" t="str">
            <v>CEILING</v>
          </cell>
          <cell r="AZ49">
            <v>0</v>
          </cell>
          <cell r="BA49">
            <v>14423</v>
          </cell>
          <cell r="BB49">
            <v>5612.8614974449392</v>
          </cell>
          <cell r="BC49">
            <v>0</v>
          </cell>
          <cell r="BD49">
            <v>0</v>
          </cell>
        </row>
        <row r="50">
          <cell r="A50">
            <v>3156</v>
          </cell>
          <cell r="B50" t="str">
            <v>St. Oswald's CE Primary</v>
          </cell>
          <cell r="D50">
            <v>286</v>
          </cell>
          <cell r="E50">
            <v>1247983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76080</v>
          </cell>
          <cell r="M50">
            <v>18254</v>
          </cell>
          <cell r="N50">
            <v>18825</v>
          </cell>
          <cell r="O50">
            <v>0</v>
          </cell>
          <cell r="P50">
            <v>39617</v>
          </cell>
          <cell r="Q50">
            <v>200000</v>
          </cell>
          <cell r="R50">
            <v>0</v>
          </cell>
          <cell r="S50">
            <v>0</v>
          </cell>
          <cell r="T50">
            <v>0</v>
          </cell>
          <cell r="U50">
            <v>895207</v>
          </cell>
          <cell r="V50">
            <v>3130.0944055944055</v>
          </cell>
          <cell r="X50">
            <v>40742</v>
          </cell>
          <cell r="Y50">
            <v>200000</v>
          </cell>
          <cell r="Z50">
            <v>0</v>
          </cell>
          <cell r="AA50">
            <v>19495.971284540592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260237.9712845406</v>
          </cell>
          <cell r="AL50">
            <v>281</v>
          </cell>
          <cell r="AM50">
            <v>3083.1429895104893</v>
          </cell>
          <cell r="AN50">
            <v>866363.18005244748</v>
          </cell>
          <cell r="AO50">
            <v>260237.9712845406</v>
          </cell>
          <cell r="AP50">
            <v>1126601.151336988</v>
          </cell>
          <cell r="AQ50">
            <v>3173.3990842194512</v>
          </cell>
          <cell r="AR50">
            <v>891725.14266566583</v>
          </cell>
          <cell r="AS50">
            <v>260237.9712845406</v>
          </cell>
          <cell r="AT50">
            <v>1151963.1139502064</v>
          </cell>
          <cell r="AU50">
            <v>1150848.9277795334</v>
          </cell>
          <cell r="AV50">
            <v>0</v>
          </cell>
          <cell r="AW50">
            <v>0</v>
          </cell>
          <cell r="AX50">
            <v>0</v>
          </cell>
          <cell r="AY50" t="str">
            <v>TARGET</v>
          </cell>
          <cell r="AZ50">
            <v>0</v>
          </cell>
          <cell r="BA50">
            <v>113159</v>
          </cell>
          <cell r="BB50">
            <v>19495.971284540592</v>
          </cell>
          <cell r="BC50">
            <v>0</v>
          </cell>
          <cell r="BD50">
            <v>0</v>
          </cell>
        </row>
        <row r="51">
          <cell r="A51">
            <v>3003</v>
          </cell>
          <cell r="B51" t="str">
            <v>St. Paul's CE Primary</v>
          </cell>
          <cell r="D51">
            <v>169</v>
          </cell>
          <cell r="E51">
            <v>594954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15727</v>
          </cell>
          <cell r="O51">
            <v>0</v>
          </cell>
          <cell r="P51">
            <v>4838</v>
          </cell>
          <cell r="Q51">
            <v>200000</v>
          </cell>
          <cell r="R51">
            <v>0</v>
          </cell>
          <cell r="S51">
            <v>0</v>
          </cell>
          <cell r="T51">
            <v>0</v>
          </cell>
          <cell r="U51">
            <v>374389</v>
          </cell>
          <cell r="V51">
            <v>2215.3195266272191</v>
          </cell>
          <cell r="X51">
            <v>4967</v>
          </cell>
          <cell r="Y51">
            <v>200000</v>
          </cell>
          <cell r="Z51">
            <v>0</v>
          </cell>
          <cell r="AA51">
            <v>8317.463420992879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213284.46342099289</v>
          </cell>
          <cell r="AL51">
            <v>166</v>
          </cell>
          <cell r="AM51">
            <v>2182.0897337278107</v>
          </cell>
          <cell r="AN51">
            <v>362226.89579881658</v>
          </cell>
          <cell r="AO51">
            <v>213284.46342099289</v>
          </cell>
          <cell r="AP51">
            <v>575511.35921980953</v>
          </cell>
          <cell r="AQ51">
            <v>2245.9683466694896</v>
          </cell>
          <cell r="AR51">
            <v>372830.7455471353</v>
          </cell>
          <cell r="AS51">
            <v>213284.46342099289</v>
          </cell>
          <cell r="AT51">
            <v>586115.20896812819</v>
          </cell>
          <cell r="AU51">
            <v>583497.11822928838</v>
          </cell>
          <cell r="AV51">
            <v>0</v>
          </cell>
          <cell r="AW51">
            <v>0</v>
          </cell>
          <cell r="AX51">
            <v>0</v>
          </cell>
          <cell r="AY51" t="str">
            <v>TARGET</v>
          </cell>
          <cell r="AZ51">
            <v>0</v>
          </cell>
          <cell r="BA51">
            <v>15727</v>
          </cell>
          <cell r="BB51">
            <v>8317.463420992879</v>
          </cell>
          <cell r="BC51">
            <v>0</v>
          </cell>
          <cell r="BD51">
            <v>0</v>
          </cell>
        </row>
        <row r="52">
          <cell r="A52">
            <v>3403</v>
          </cell>
          <cell r="B52" t="str">
            <v>St. Wilfrid's RC Primary</v>
          </cell>
          <cell r="D52">
            <v>261</v>
          </cell>
          <cell r="E52">
            <v>858679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200000</v>
          </cell>
          <cell r="R52">
            <v>0</v>
          </cell>
          <cell r="S52">
            <v>0</v>
          </cell>
          <cell r="T52">
            <v>0</v>
          </cell>
          <cell r="U52">
            <v>658679</v>
          </cell>
          <cell r="V52">
            <v>2523.6743295019155</v>
          </cell>
          <cell r="X52">
            <v>0</v>
          </cell>
          <cell r="Y52">
            <v>200000</v>
          </cell>
          <cell r="Z52">
            <v>0</v>
          </cell>
          <cell r="AA52">
            <v>19789.74810299568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219789.74810299568</v>
          </cell>
          <cell r="AL52">
            <v>263</v>
          </cell>
          <cell r="AM52">
            <v>2485.8192145593866</v>
          </cell>
          <cell r="AN52">
            <v>653770.45342911873</v>
          </cell>
          <cell r="AO52">
            <v>219789.74810299568</v>
          </cell>
          <cell r="AP52">
            <v>873560.20153211441</v>
          </cell>
          <cell r="AQ52">
            <v>2558.5892207582401</v>
          </cell>
          <cell r="AR52">
            <v>672908.96505941718</v>
          </cell>
          <cell r="AS52">
            <v>219789.74810299568</v>
          </cell>
          <cell r="AT52">
            <v>892698.71316241287</v>
          </cell>
          <cell r="AU52">
            <v>900862.12531834701</v>
          </cell>
          <cell r="AV52">
            <v>0</v>
          </cell>
          <cell r="AW52">
            <v>-8163.4121559341438</v>
          </cell>
          <cell r="AX52">
            <v>0</v>
          </cell>
          <cell r="AY52" t="str">
            <v>CEILING</v>
          </cell>
          <cell r="AZ52">
            <v>0</v>
          </cell>
          <cell r="BA52">
            <v>0</v>
          </cell>
          <cell r="BB52">
            <v>19789.74810299568</v>
          </cell>
          <cell r="BC52">
            <v>0</v>
          </cell>
          <cell r="BD52">
            <v>0</v>
          </cell>
        </row>
        <row r="53">
          <cell r="A53">
            <v>2227</v>
          </cell>
          <cell r="B53" t="str">
            <v>Stockton on the Forest Primary</v>
          </cell>
          <cell r="D53">
            <v>63</v>
          </cell>
          <cell r="E53">
            <v>375781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31375</v>
          </cell>
          <cell r="O53">
            <v>0</v>
          </cell>
          <cell r="P53">
            <v>0</v>
          </cell>
          <cell r="Q53">
            <v>200000</v>
          </cell>
          <cell r="R53">
            <v>0</v>
          </cell>
          <cell r="S53">
            <v>0</v>
          </cell>
          <cell r="T53">
            <v>0</v>
          </cell>
          <cell r="U53">
            <v>144406</v>
          </cell>
          <cell r="V53">
            <v>2292.1587301587301</v>
          </cell>
          <cell r="X53">
            <v>0</v>
          </cell>
          <cell r="Y53">
            <v>200000</v>
          </cell>
          <cell r="Z53">
            <v>0</v>
          </cell>
          <cell r="AA53">
            <v>4445.5036591457065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204445.5036591457</v>
          </cell>
          <cell r="AL53">
            <v>70</v>
          </cell>
          <cell r="AM53">
            <v>2257.7763492063491</v>
          </cell>
          <cell r="AN53">
            <v>158044.34444444443</v>
          </cell>
          <cell r="AO53">
            <v>204445.5036591457</v>
          </cell>
          <cell r="AP53">
            <v>362489.84810359013</v>
          </cell>
          <cell r="AQ53">
            <v>2323.870616225076</v>
          </cell>
          <cell r="AR53">
            <v>162670.94313575531</v>
          </cell>
          <cell r="AS53">
            <v>204445.5036591457</v>
          </cell>
          <cell r="AT53">
            <v>367116.44679490104</v>
          </cell>
          <cell r="AU53">
            <v>384258.17587209301</v>
          </cell>
          <cell r="AV53">
            <v>0</v>
          </cell>
          <cell r="AW53">
            <v>-17141.729077191965</v>
          </cell>
          <cell r="AX53">
            <v>0</v>
          </cell>
          <cell r="AY53" t="str">
            <v>CEILING</v>
          </cell>
          <cell r="AZ53">
            <v>0</v>
          </cell>
          <cell r="BA53">
            <v>31375</v>
          </cell>
          <cell r="BB53">
            <v>4445.5036591457065</v>
          </cell>
          <cell r="BC53">
            <v>0</v>
          </cell>
          <cell r="BD53">
            <v>0</v>
          </cell>
        </row>
        <row r="54">
          <cell r="A54">
            <v>2429</v>
          </cell>
          <cell r="B54" t="str">
            <v>Tang Hall Primary</v>
          </cell>
          <cell r="D54">
            <v>125</v>
          </cell>
          <cell r="E54">
            <v>721527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73598</v>
          </cell>
          <cell r="L54">
            <v>0</v>
          </cell>
          <cell r="M54">
            <v>0</v>
          </cell>
          <cell r="N54">
            <v>9207</v>
          </cell>
          <cell r="O54">
            <v>0</v>
          </cell>
          <cell r="P54">
            <v>13140</v>
          </cell>
          <cell r="Q54">
            <v>200000</v>
          </cell>
          <cell r="R54">
            <v>0</v>
          </cell>
          <cell r="S54">
            <v>0</v>
          </cell>
          <cell r="T54">
            <v>0</v>
          </cell>
          <cell r="U54">
            <v>425582</v>
          </cell>
          <cell r="V54">
            <v>3404.6559999999999</v>
          </cell>
          <cell r="X54">
            <v>13513</v>
          </cell>
          <cell r="Y54">
            <v>200000</v>
          </cell>
          <cell r="Z54">
            <v>0</v>
          </cell>
          <cell r="AA54">
            <v>15987.760447956014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229500.76044795601</v>
          </cell>
          <cell r="AL54">
            <v>138</v>
          </cell>
          <cell r="AM54">
            <v>3353.5861599999998</v>
          </cell>
          <cell r="AN54">
            <v>462794.89007999998</v>
          </cell>
          <cell r="AO54">
            <v>229500.76044795601</v>
          </cell>
          <cell r="AP54">
            <v>692295.65052795596</v>
          </cell>
          <cell r="AQ54">
            <v>3451.7592227160048</v>
          </cell>
          <cell r="AR54">
            <v>476342.77273480868</v>
          </cell>
          <cell r="AS54">
            <v>229500.76044795601</v>
          </cell>
          <cell r="AT54">
            <v>705843.53318276466</v>
          </cell>
          <cell r="AU54">
            <v>701225.17374517373</v>
          </cell>
          <cell r="AV54">
            <v>0</v>
          </cell>
          <cell r="AW54">
            <v>0</v>
          </cell>
          <cell r="AX54">
            <v>0</v>
          </cell>
          <cell r="AY54" t="str">
            <v>TARGET</v>
          </cell>
          <cell r="AZ54">
            <v>0</v>
          </cell>
          <cell r="BA54">
            <v>82805</v>
          </cell>
          <cell r="BB54">
            <v>15987.760447956014</v>
          </cell>
          <cell r="BC54">
            <v>0</v>
          </cell>
          <cell r="BD54">
            <v>0</v>
          </cell>
        </row>
        <row r="55">
          <cell r="A55">
            <v>2017</v>
          </cell>
          <cell r="B55" t="str">
            <v>Westfield Primary</v>
          </cell>
          <cell r="D55">
            <v>502</v>
          </cell>
          <cell r="E55">
            <v>1909913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156551</v>
          </cell>
          <cell r="L55">
            <v>0</v>
          </cell>
          <cell r="M55">
            <v>0</v>
          </cell>
          <cell r="N55">
            <v>3145</v>
          </cell>
          <cell r="O55">
            <v>0</v>
          </cell>
          <cell r="P55">
            <v>26726</v>
          </cell>
          <cell r="Q55">
            <v>200000</v>
          </cell>
          <cell r="R55">
            <v>0</v>
          </cell>
          <cell r="S55">
            <v>0</v>
          </cell>
          <cell r="T55">
            <v>0</v>
          </cell>
          <cell r="U55">
            <v>1523491</v>
          </cell>
          <cell r="V55">
            <v>3034.8426294820715</v>
          </cell>
          <cell r="X55">
            <v>27485</v>
          </cell>
          <cell r="Y55">
            <v>200000</v>
          </cell>
          <cell r="Z55">
            <v>0</v>
          </cell>
          <cell r="AA55">
            <v>48973.208022655526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276458.20802265551</v>
          </cell>
          <cell r="AL55">
            <v>491</v>
          </cell>
          <cell r="AM55">
            <v>2989.3199900398404</v>
          </cell>
          <cell r="AN55">
            <v>1467756.1151095617</v>
          </cell>
          <cell r="AO55">
            <v>276458.20802265551</v>
          </cell>
          <cell r="AP55">
            <v>1744214.3231322172</v>
          </cell>
          <cell r="AQ55">
            <v>3076.8295051853788</v>
          </cell>
          <cell r="AR55">
            <v>1510723.2870460211</v>
          </cell>
          <cell r="AS55">
            <v>276458.20802265551</v>
          </cell>
          <cell r="AT55">
            <v>1787181.4950686765</v>
          </cell>
          <cell r="AU55">
            <v>1866497.040491702</v>
          </cell>
          <cell r="AV55">
            <v>0</v>
          </cell>
          <cell r="AW55">
            <v>-79315.545423025498</v>
          </cell>
          <cell r="AX55">
            <v>0</v>
          </cell>
          <cell r="AY55" t="str">
            <v>CEILING</v>
          </cell>
          <cell r="AZ55">
            <v>0</v>
          </cell>
          <cell r="BA55">
            <v>159696</v>
          </cell>
          <cell r="BB55">
            <v>48973.208022655526</v>
          </cell>
          <cell r="BC55">
            <v>0</v>
          </cell>
          <cell r="BD55">
            <v>0</v>
          </cell>
        </row>
        <row r="56">
          <cell r="A56">
            <v>3380</v>
          </cell>
          <cell r="B56" t="str">
            <v>Wheldrake CE Primary</v>
          </cell>
          <cell r="D56">
            <v>206</v>
          </cell>
          <cell r="E56">
            <v>661984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79</v>
          </cell>
          <cell r="O56">
            <v>0</v>
          </cell>
          <cell r="P56">
            <v>0</v>
          </cell>
          <cell r="Q56">
            <v>200000</v>
          </cell>
          <cell r="R56">
            <v>0</v>
          </cell>
          <cell r="S56">
            <v>0</v>
          </cell>
          <cell r="T56">
            <v>0</v>
          </cell>
          <cell r="U56">
            <v>461905</v>
          </cell>
          <cell r="V56">
            <v>2242.2572815533981</v>
          </cell>
          <cell r="X56">
            <v>0</v>
          </cell>
          <cell r="Y56">
            <v>200000</v>
          </cell>
          <cell r="Z56">
            <v>0</v>
          </cell>
          <cell r="AA56">
            <v>10827.894546685311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210827.8945466853</v>
          </cell>
          <cell r="AL56">
            <v>216</v>
          </cell>
          <cell r="AM56">
            <v>2208.6234223300971</v>
          </cell>
          <cell r="AN56">
            <v>477062.65922330099</v>
          </cell>
          <cell r="AO56">
            <v>210827.8945466853</v>
          </cell>
          <cell r="AP56">
            <v>687890.55376998626</v>
          </cell>
          <cell r="AQ56">
            <v>2273.2787839077014</v>
          </cell>
          <cell r="AR56">
            <v>491028.21732406347</v>
          </cell>
          <cell r="AS56">
            <v>210827.8945466853</v>
          </cell>
          <cell r="AT56">
            <v>701856.11187074881</v>
          </cell>
          <cell r="AU56">
            <v>695862.25985638797</v>
          </cell>
          <cell r="AV56">
            <v>0</v>
          </cell>
          <cell r="AW56">
            <v>0</v>
          </cell>
          <cell r="AX56">
            <v>0</v>
          </cell>
          <cell r="AY56" t="str">
            <v>TARGET</v>
          </cell>
          <cell r="AZ56">
            <v>0</v>
          </cell>
          <cell r="BA56">
            <v>79</v>
          </cell>
          <cell r="BB56">
            <v>10827.894546685311</v>
          </cell>
          <cell r="BC56">
            <v>0</v>
          </cell>
          <cell r="BD56">
            <v>0</v>
          </cell>
        </row>
        <row r="57">
          <cell r="A57">
            <v>2240</v>
          </cell>
          <cell r="B57" t="str">
            <v>Wigginton Primary</v>
          </cell>
          <cell r="D57">
            <v>271</v>
          </cell>
          <cell r="E57">
            <v>861808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19607</v>
          </cell>
          <cell r="O57">
            <v>0</v>
          </cell>
          <cell r="P57">
            <v>10763</v>
          </cell>
          <cell r="Q57">
            <v>200000</v>
          </cell>
          <cell r="R57">
            <v>0</v>
          </cell>
          <cell r="S57">
            <v>0</v>
          </cell>
          <cell r="T57">
            <v>0</v>
          </cell>
          <cell r="U57">
            <v>631438</v>
          </cell>
          <cell r="V57">
            <v>2330.0295202952029</v>
          </cell>
          <cell r="X57">
            <v>11069</v>
          </cell>
          <cell r="Y57">
            <v>200000</v>
          </cell>
          <cell r="Z57">
            <v>0</v>
          </cell>
          <cell r="AA57">
            <v>14193.741673246899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225262.7416732469</v>
          </cell>
          <cell r="AL57">
            <v>275</v>
          </cell>
          <cell r="AM57">
            <v>2295.079077490775</v>
          </cell>
          <cell r="AN57">
            <v>631146.74630996317</v>
          </cell>
          <cell r="AO57">
            <v>225262.7416732469</v>
          </cell>
          <cell r="AP57">
            <v>856409.48798321001</v>
          </cell>
          <cell r="AQ57">
            <v>2362.2653465958133</v>
          </cell>
          <cell r="AR57">
            <v>649622.97031384869</v>
          </cell>
          <cell r="AS57">
            <v>225262.7416732469</v>
          </cell>
          <cell r="AT57">
            <v>874885.71198709565</v>
          </cell>
          <cell r="AU57">
            <v>860001.91616766469</v>
          </cell>
          <cell r="AV57">
            <v>0</v>
          </cell>
          <cell r="AW57">
            <v>0</v>
          </cell>
          <cell r="AX57">
            <v>0</v>
          </cell>
          <cell r="AY57" t="str">
            <v>TARGET</v>
          </cell>
          <cell r="AZ57">
            <v>0</v>
          </cell>
          <cell r="BA57">
            <v>19607</v>
          </cell>
          <cell r="BB57">
            <v>14193.741673246899</v>
          </cell>
          <cell r="BC57">
            <v>0</v>
          </cell>
          <cell r="BD57">
            <v>0</v>
          </cell>
        </row>
        <row r="58">
          <cell r="A58">
            <v>2027</v>
          </cell>
          <cell r="B58" t="str">
            <v>Woodthorpe Primary</v>
          </cell>
          <cell r="D58">
            <v>358</v>
          </cell>
          <cell r="E58">
            <v>1354487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108114</v>
          </cell>
          <cell r="L58">
            <v>0</v>
          </cell>
          <cell r="M58">
            <v>0</v>
          </cell>
          <cell r="N58">
            <v>7856</v>
          </cell>
          <cell r="O58">
            <v>0</v>
          </cell>
          <cell r="P58">
            <v>23816</v>
          </cell>
          <cell r="Q58">
            <v>200000</v>
          </cell>
          <cell r="R58">
            <v>0</v>
          </cell>
          <cell r="S58">
            <v>0</v>
          </cell>
          <cell r="T58">
            <v>0</v>
          </cell>
          <cell r="U58">
            <v>1014701</v>
          </cell>
          <cell r="V58">
            <v>2834.3603351955308</v>
          </cell>
          <cell r="X58">
            <v>24492</v>
          </cell>
          <cell r="Y58">
            <v>200000</v>
          </cell>
          <cell r="Z58">
            <v>0</v>
          </cell>
          <cell r="AA58">
            <v>28101.168500544358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252593.16850054436</v>
          </cell>
          <cell r="AL58">
            <v>356</v>
          </cell>
          <cell r="AM58">
            <v>2791.8449301675978</v>
          </cell>
          <cell r="AN58">
            <v>993896.79513966478</v>
          </cell>
          <cell r="AO58">
            <v>252593.16850054436</v>
          </cell>
          <cell r="AP58">
            <v>1246489.9636402091</v>
          </cell>
          <cell r="AQ58">
            <v>2873.5735497247301</v>
          </cell>
          <cell r="AR58">
            <v>1022992.1837020039</v>
          </cell>
          <cell r="AS58">
            <v>252593.16850054436</v>
          </cell>
          <cell r="AT58">
            <v>1275585.3522025482</v>
          </cell>
          <cell r="AU58">
            <v>1249573.1859003757</v>
          </cell>
          <cell r="AV58">
            <v>0</v>
          </cell>
          <cell r="AW58">
            <v>0</v>
          </cell>
          <cell r="AX58">
            <v>0</v>
          </cell>
          <cell r="AY58" t="str">
            <v>TARGET</v>
          </cell>
          <cell r="AZ58">
            <v>0</v>
          </cell>
          <cell r="BA58">
            <v>115970</v>
          </cell>
          <cell r="BB58">
            <v>28101.168500544358</v>
          </cell>
          <cell r="BC58">
            <v>0</v>
          </cell>
          <cell r="BD58">
            <v>0</v>
          </cell>
        </row>
        <row r="59">
          <cell r="A59">
            <v>2015</v>
          </cell>
          <cell r="B59" t="str">
            <v>Yearsley Grove Primary</v>
          </cell>
          <cell r="D59">
            <v>282</v>
          </cell>
          <cell r="E59">
            <v>1060902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74939</v>
          </cell>
          <cell r="L59">
            <v>0</v>
          </cell>
          <cell r="M59">
            <v>0</v>
          </cell>
          <cell r="N59">
            <v>8654</v>
          </cell>
          <cell r="O59">
            <v>0</v>
          </cell>
          <cell r="P59">
            <v>18893</v>
          </cell>
          <cell r="Q59">
            <v>200000</v>
          </cell>
          <cell r="R59">
            <v>0</v>
          </cell>
          <cell r="S59">
            <v>0</v>
          </cell>
          <cell r="T59">
            <v>0</v>
          </cell>
          <cell r="U59">
            <v>758416</v>
          </cell>
          <cell r="V59">
            <v>2689.4184397163122</v>
          </cell>
          <cell r="X59">
            <v>19429</v>
          </cell>
          <cell r="Y59">
            <v>200000</v>
          </cell>
          <cell r="Z59">
            <v>0</v>
          </cell>
          <cell r="AA59">
            <v>23615.384995106513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243044.38499510652</v>
          </cell>
          <cell r="AL59">
            <v>287</v>
          </cell>
          <cell r="AM59">
            <v>2649.0771631205675</v>
          </cell>
          <cell r="AN59">
            <v>760285.14581560285</v>
          </cell>
          <cell r="AO59">
            <v>243044.38499510652</v>
          </cell>
          <cell r="AP59">
            <v>1003329.5308107093</v>
          </cell>
          <cell r="AQ59">
            <v>2726.626391339762</v>
          </cell>
          <cell r="AR59">
            <v>782541.77431451168</v>
          </cell>
          <cell r="AS59">
            <v>243044.38499510652</v>
          </cell>
          <cell r="AT59">
            <v>1025586.1593096182</v>
          </cell>
          <cell r="AU59">
            <v>1052749.3323762873</v>
          </cell>
          <cell r="AV59">
            <v>0</v>
          </cell>
          <cell r="AW59">
            <v>-27163.173066669144</v>
          </cell>
          <cell r="AX59">
            <v>0</v>
          </cell>
          <cell r="AY59" t="str">
            <v>CEILING</v>
          </cell>
          <cell r="AZ59">
            <v>0</v>
          </cell>
          <cell r="BA59">
            <v>83593</v>
          </cell>
          <cell r="BB59">
            <v>23615.384995106513</v>
          </cell>
          <cell r="BC59">
            <v>0</v>
          </cell>
          <cell r="BD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</row>
        <row r="61">
          <cell r="A61">
            <v>0</v>
          </cell>
          <cell r="B61" t="str">
            <v>Primary Schools Total</v>
          </cell>
          <cell r="C61">
            <v>0</v>
          </cell>
          <cell r="D61">
            <v>12444</v>
          </cell>
          <cell r="E61">
            <v>46626407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1621903</v>
          </cell>
          <cell r="L61">
            <v>356224</v>
          </cell>
          <cell r="M61">
            <v>69366</v>
          </cell>
          <cell r="N61">
            <v>483892</v>
          </cell>
          <cell r="O61">
            <v>0</v>
          </cell>
          <cell r="P61">
            <v>632477</v>
          </cell>
          <cell r="Q61">
            <v>10400000</v>
          </cell>
          <cell r="R61">
            <v>0</v>
          </cell>
          <cell r="S61">
            <v>0</v>
          </cell>
          <cell r="T61">
            <v>0</v>
          </cell>
          <cell r="U61">
            <v>33062545</v>
          </cell>
          <cell r="V61">
            <v>2656.9065413050466</v>
          </cell>
          <cell r="X61">
            <v>650388</v>
          </cell>
          <cell r="Y61">
            <v>10400000</v>
          </cell>
          <cell r="Z61">
            <v>0</v>
          </cell>
          <cell r="AA61">
            <v>909376.00000000023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11959764.000000004</v>
          </cell>
          <cell r="AL61">
            <v>12772</v>
          </cell>
          <cell r="AM61">
            <v>2617.0529431854711</v>
          </cell>
          <cell r="AN61">
            <v>33428125.564196095</v>
          </cell>
          <cell r="AO61">
            <v>11959764.000000004</v>
          </cell>
          <cell r="AP61">
            <v>45387889.564196102</v>
          </cell>
          <cell r="AQ61">
            <v>0</v>
          </cell>
          <cell r="AR61">
            <v>34406702.320814259</v>
          </cell>
          <cell r="AS61">
            <v>11959764.000000004</v>
          </cell>
          <cell r="AT61">
            <v>46366466.320814244</v>
          </cell>
          <cell r="AU61">
            <v>45732252.193495102</v>
          </cell>
          <cell r="AV61">
            <v>646886.16045792412</v>
          </cell>
          <cell r="AW61">
            <v>-542655.64028645307</v>
          </cell>
          <cell r="AX61">
            <v>0</v>
          </cell>
          <cell r="AY61">
            <v>0</v>
          </cell>
          <cell r="AZ61">
            <v>0</v>
          </cell>
          <cell r="BA61">
            <v>2531385</v>
          </cell>
          <cell r="BB61">
            <v>909376.00000000023</v>
          </cell>
          <cell r="BC61">
            <v>0</v>
          </cell>
          <cell r="BD61">
            <v>0</v>
          </cell>
        </row>
        <row r="62">
          <cell r="B62" t="str">
            <v>SECONDARY SCHOOLS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L62">
            <v>0</v>
          </cell>
          <cell r="AM62">
            <v>-1.4999999999999999E-2</v>
          </cell>
          <cell r="AN62">
            <v>0</v>
          </cell>
          <cell r="AO62">
            <v>0</v>
          </cell>
          <cell r="AP62">
            <v>0</v>
          </cell>
          <cell r="AQ62">
            <v>1.3834943299999999E-2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</row>
        <row r="63">
          <cell r="A63">
            <v>4702</v>
          </cell>
          <cell r="B63" t="str">
            <v>All Saints’ RC School</v>
          </cell>
          <cell r="D63">
            <v>902</v>
          </cell>
          <cell r="E63">
            <v>4072773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200000</v>
          </cell>
          <cell r="R63">
            <v>0</v>
          </cell>
          <cell r="S63">
            <v>0</v>
          </cell>
          <cell r="T63">
            <v>0</v>
          </cell>
          <cell r="U63">
            <v>3872773</v>
          </cell>
          <cell r="V63">
            <v>4293.539911308204</v>
          </cell>
          <cell r="X63">
            <v>0</v>
          </cell>
          <cell r="Y63">
            <v>200000</v>
          </cell>
          <cell r="Z63">
            <v>0</v>
          </cell>
          <cell r="AA63">
            <v>137797.89624281242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337797.89624281239</v>
          </cell>
          <cell r="AL63">
            <v>879</v>
          </cell>
          <cell r="AM63">
            <v>4229.1368126385805</v>
          </cell>
          <cell r="AN63">
            <v>3717411.2583093122</v>
          </cell>
          <cell r="AO63">
            <v>337797.89624281239</v>
          </cell>
          <cell r="AP63">
            <v>4055209.1545521244</v>
          </cell>
          <cell r="AQ63">
            <v>4352.9407925374398</v>
          </cell>
          <cell r="AR63">
            <v>3826234.9566404098</v>
          </cell>
          <cell r="AS63">
            <v>337797.89624281239</v>
          </cell>
          <cell r="AT63">
            <v>4164032.852883222</v>
          </cell>
          <cell r="AU63">
            <v>4055416.6072309338</v>
          </cell>
          <cell r="AV63">
            <v>0</v>
          </cell>
          <cell r="AW63">
            <v>0</v>
          </cell>
          <cell r="AX63">
            <v>0</v>
          </cell>
          <cell r="AY63" t="str">
            <v>TARGET</v>
          </cell>
          <cell r="AZ63">
            <v>0</v>
          </cell>
          <cell r="BA63">
            <v>0</v>
          </cell>
          <cell r="BB63">
            <v>137797.89624281242</v>
          </cell>
          <cell r="BC63">
            <v>0</v>
          </cell>
          <cell r="BD63">
            <v>0</v>
          </cell>
        </row>
        <row r="64">
          <cell r="A64">
            <v>4500</v>
          </cell>
          <cell r="B64" t="str">
            <v>Archbishop Holgate's CE School</v>
          </cell>
          <cell r="D64">
            <v>803</v>
          </cell>
          <cell r="E64">
            <v>3659274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24681</v>
          </cell>
          <cell r="Q64">
            <v>200000</v>
          </cell>
          <cell r="R64">
            <v>0</v>
          </cell>
          <cell r="S64">
            <v>0</v>
          </cell>
          <cell r="T64">
            <v>0</v>
          </cell>
          <cell r="U64">
            <v>3434593</v>
          </cell>
          <cell r="V64">
            <v>4277.2017434620175</v>
          </cell>
          <cell r="X64">
            <v>25382</v>
          </cell>
          <cell r="Y64">
            <v>200000</v>
          </cell>
          <cell r="Z64">
            <v>0</v>
          </cell>
          <cell r="AA64">
            <v>135656.57455480573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361038.57455480576</v>
          </cell>
          <cell r="AL64">
            <v>836</v>
          </cell>
          <cell r="AM64">
            <v>4213.0437173100872</v>
          </cell>
          <cell r="AN64">
            <v>3522104.5476712328</v>
          </cell>
          <cell r="AO64">
            <v>361038.57455480576</v>
          </cell>
          <cell r="AP64">
            <v>3883143.1222260385</v>
          </cell>
          <cell r="AQ64">
            <v>4336.3765870654761</v>
          </cell>
          <cell r="AR64">
            <v>3625210.8267867379</v>
          </cell>
          <cell r="AS64">
            <v>361038.57455480576</v>
          </cell>
          <cell r="AT64">
            <v>3986249.4013415435</v>
          </cell>
          <cell r="AU64">
            <v>3828123.2607957199</v>
          </cell>
          <cell r="AV64">
            <v>55019.86143031856</v>
          </cell>
          <cell r="AW64">
            <v>0</v>
          </cell>
          <cell r="AX64">
            <v>0</v>
          </cell>
          <cell r="AY64" t="str">
            <v>FLOOR</v>
          </cell>
          <cell r="AZ64">
            <v>0</v>
          </cell>
          <cell r="BA64">
            <v>0</v>
          </cell>
          <cell r="BB64">
            <v>135656.57455480573</v>
          </cell>
          <cell r="BC64">
            <v>0</v>
          </cell>
          <cell r="BD64">
            <v>0</v>
          </cell>
        </row>
        <row r="65">
          <cell r="A65">
            <v>4227</v>
          </cell>
          <cell r="B65" t="str">
            <v>Burnholme Community College</v>
          </cell>
          <cell r="D65">
            <v>286</v>
          </cell>
          <cell r="E65">
            <v>1999554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49922</v>
          </cell>
          <cell r="Q65">
            <v>200000</v>
          </cell>
          <cell r="R65">
            <v>0</v>
          </cell>
          <cell r="S65">
            <v>0</v>
          </cell>
          <cell r="T65">
            <v>0</v>
          </cell>
          <cell r="U65">
            <v>1749632</v>
          </cell>
          <cell r="V65">
            <v>6117.5944055944055</v>
          </cell>
          <cell r="X65">
            <v>51339</v>
          </cell>
          <cell r="Y65">
            <v>200000</v>
          </cell>
          <cell r="Z65">
            <v>0</v>
          </cell>
          <cell r="AA65">
            <v>50008.268055868859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301347.26805586886</v>
          </cell>
          <cell r="AL65">
            <v>187</v>
          </cell>
          <cell r="AM65">
            <v>6025.8304895104893</v>
          </cell>
          <cell r="AN65">
            <v>1126830.3015384616</v>
          </cell>
          <cell r="AO65">
            <v>301347.26805586886</v>
          </cell>
          <cell r="AP65">
            <v>1428177.5695943304</v>
          </cell>
          <cell r="AQ65">
            <v>6202.2309773282013</v>
          </cell>
          <cell r="AR65">
            <v>1159817.1927603737</v>
          </cell>
          <cell r="AS65">
            <v>301347.26805586886</v>
          </cell>
          <cell r="AT65">
            <v>1461164.4608162425</v>
          </cell>
          <cell r="AU65">
            <v>1259120.8250626563</v>
          </cell>
          <cell r="AV65">
            <v>169056.74453167408</v>
          </cell>
          <cell r="AW65">
            <v>0</v>
          </cell>
          <cell r="AX65">
            <v>0</v>
          </cell>
          <cell r="AY65" t="str">
            <v>FLOOR</v>
          </cell>
          <cell r="AZ65">
            <v>0</v>
          </cell>
          <cell r="BA65">
            <v>0</v>
          </cell>
          <cell r="BB65">
            <v>50008.268055868859</v>
          </cell>
          <cell r="BC65">
            <v>0</v>
          </cell>
          <cell r="BD65">
            <v>0</v>
          </cell>
        </row>
        <row r="66">
          <cell r="A66">
            <v>4003</v>
          </cell>
          <cell r="B66" t="str">
            <v>Canon Lee School</v>
          </cell>
          <cell r="D66">
            <v>742</v>
          </cell>
          <cell r="E66">
            <v>3534677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104882</v>
          </cell>
          <cell r="Q66">
            <v>200000</v>
          </cell>
          <cell r="R66">
            <v>0</v>
          </cell>
          <cell r="S66">
            <v>0</v>
          </cell>
          <cell r="T66">
            <v>0</v>
          </cell>
          <cell r="U66">
            <v>3229795</v>
          </cell>
          <cell r="V66">
            <v>4352.8234501347706</v>
          </cell>
          <cell r="X66">
            <v>107859</v>
          </cell>
          <cell r="Y66">
            <v>200000</v>
          </cell>
          <cell r="Z66">
            <v>0</v>
          </cell>
          <cell r="AA66">
            <v>136858.50917894763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444717.50917894766</v>
          </cell>
          <cell r="AL66">
            <v>710</v>
          </cell>
          <cell r="AM66">
            <v>4287.5310983827494</v>
          </cell>
          <cell r="AN66">
            <v>3044147.0798517521</v>
          </cell>
          <cell r="AO66">
            <v>444717.50917894766</v>
          </cell>
          <cell r="AP66">
            <v>3488864.5890306998</v>
          </cell>
          <cell r="AQ66">
            <v>4413.0445157622953</v>
          </cell>
          <cell r="AR66">
            <v>3133261.6061912295</v>
          </cell>
          <cell r="AS66">
            <v>444717.50917894766</v>
          </cell>
          <cell r="AT66">
            <v>3577979.1153701772</v>
          </cell>
          <cell r="AU66">
            <v>3589323.5674095256</v>
          </cell>
          <cell r="AV66">
            <v>0</v>
          </cell>
          <cell r="AW66">
            <v>-11344.452039348427</v>
          </cell>
          <cell r="AX66">
            <v>0</v>
          </cell>
          <cell r="AY66" t="str">
            <v>CEILING</v>
          </cell>
          <cell r="AZ66">
            <v>0</v>
          </cell>
          <cell r="BA66">
            <v>0</v>
          </cell>
          <cell r="BB66">
            <v>136858.50917894763</v>
          </cell>
          <cell r="BC66">
            <v>0</v>
          </cell>
          <cell r="BD66">
            <v>0</v>
          </cell>
        </row>
        <row r="67">
          <cell r="A67">
            <v>4153</v>
          </cell>
          <cell r="B67" t="str">
            <v>Fulford School</v>
          </cell>
          <cell r="D67">
            <v>1029</v>
          </cell>
          <cell r="E67">
            <v>4494227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176271</v>
          </cell>
          <cell r="M67">
            <v>25528</v>
          </cell>
          <cell r="N67">
            <v>0</v>
          </cell>
          <cell r="O67">
            <v>0</v>
          </cell>
          <cell r="P67">
            <v>105340</v>
          </cell>
          <cell r="Q67">
            <v>200000</v>
          </cell>
          <cell r="R67">
            <v>0</v>
          </cell>
          <cell r="S67">
            <v>0</v>
          </cell>
          <cell r="T67">
            <v>0</v>
          </cell>
          <cell r="U67">
            <v>3987088</v>
          </cell>
          <cell r="V67">
            <v>3874.721088435374</v>
          </cell>
          <cell r="X67">
            <v>108330</v>
          </cell>
          <cell r="Y67">
            <v>200000</v>
          </cell>
          <cell r="Z67">
            <v>0</v>
          </cell>
          <cell r="AA67">
            <v>144179.07995165201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452509.07995165198</v>
          </cell>
          <cell r="AL67">
            <v>1021</v>
          </cell>
          <cell r="AM67">
            <v>3816.6002721088435</v>
          </cell>
          <cell r="AN67">
            <v>3896748.8778231293</v>
          </cell>
          <cell r="AO67">
            <v>452509.07995165198</v>
          </cell>
          <cell r="AP67">
            <v>4349257.9577747816</v>
          </cell>
          <cell r="AQ67">
            <v>3928.3276349971916</v>
          </cell>
          <cell r="AR67">
            <v>4010822.5153321326</v>
          </cell>
          <cell r="AS67">
            <v>452509.07995165198</v>
          </cell>
          <cell r="AT67">
            <v>4463331.5952837849</v>
          </cell>
          <cell r="AU67">
            <v>4459735.9411727954</v>
          </cell>
          <cell r="AV67">
            <v>0</v>
          </cell>
          <cell r="AW67">
            <v>0</v>
          </cell>
          <cell r="AX67">
            <v>0</v>
          </cell>
          <cell r="AY67" t="str">
            <v>TARGET</v>
          </cell>
          <cell r="AZ67">
            <v>0</v>
          </cell>
          <cell r="BA67">
            <v>201799</v>
          </cell>
          <cell r="BB67">
            <v>144179.07995165201</v>
          </cell>
          <cell r="BC67">
            <v>0</v>
          </cell>
          <cell r="BD67">
            <v>0</v>
          </cell>
        </row>
        <row r="68">
          <cell r="A68">
            <v>4063</v>
          </cell>
          <cell r="B68" t="str">
            <v>Huntington School</v>
          </cell>
          <cell r="D68">
            <v>1154</v>
          </cell>
          <cell r="E68">
            <v>4904682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105340</v>
          </cell>
          <cell r="Q68">
            <v>200000</v>
          </cell>
          <cell r="R68">
            <v>0</v>
          </cell>
          <cell r="S68">
            <v>0</v>
          </cell>
          <cell r="T68">
            <v>0</v>
          </cell>
          <cell r="U68">
            <v>4599342</v>
          </cell>
          <cell r="V68">
            <v>3985.5649913344887</v>
          </cell>
          <cell r="X68">
            <v>108330</v>
          </cell>
          <cell r="Y68">
            <v>200000</v>
          </cell>
          <cell r="Z68">
            <v>0</v>
          </cell>
          <cell r="AA68">
            <v>182838.61354387089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491168.61354387086</v>
          </cell>
          <cell r="AL68">
            <v>1144</v>
          </cell>
          <cell r="AM68">
            <v>3925.7815164644712</v>
          </cell>
          <cell r="AN68">
            <v>4491094.0548353549</v>
          </cell>
          <cell r="AO68">
            <v>491168.61354387086</v>
          </cell>
          <cell r="AP68">
            <v>4982262.6683792258</v>
          </cell>
          <cell r="AQ68">
            <v>4040.7050570080664</v>
          </cell>
          <cell r="AR68">
            <v>4622566.5852172282</v>
          </cell>
          <cell r="AS68">
            <v>491168.61354387086</v>
          </cell>
          <cell r="AT68">
            <v>5113735.198761099</v>
          </cell>
          <cell r="AU68">
            <v>5236753.5741229784</v>
          </cell>
          <cell r="AV68">
            <v>0</v>
          </cell>
          <cell r="AW68">
            <v>-123018.37536187936</v>
          </cell>
          <cell r="AX68">
            <v>0</v>
          </cell>
          <cell r="AY68" t="str">
            <v>CEILING</v>
          </cell>
          <cell r="AZ68">
            <v>0</v>
          </cell>
          <cell r="BA68">
            <v>0</v>
          </cell>
          <cell r="BB68">
            <v>182838.61354387089</v>
          </cell>
          <cell r="BC68">
            <v>0</v>
          </cell>
          <cell r="BD68">
            <v>0</v>
          </cell>
        </row>
        <row r="69">
          <cell r="A69">
            <v>4508</v>
          </cell>
          <cell r="B69" t="str">
            <v>Joseph Rowntree School</v>
          </cell>
          <cell r="D69">
            <v>986</v>
          </cell>
          <cell r="E69">
            <v>4417052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176271</v>
          </cell>
          <cell r="M69">
            <v>25528</v>
          </cell>
          <cell r="N69">
            <v>0</v>
          </cell>
          <cell r="O69">
            <v>0</v>
          </cell>
          <cell r="P69">
            <v>93335</v>
          </cell>
          <cell r="Q69">
            <v>200000</v>
          </cell>
          <cell r="R69">
            <v>0</v>
          </cell>
          <cell r="S69">
            <v>0</v>
          </cell>
          <cell r="T69">
            <v>0</v>
          </cell>
          <cell r="U69">
            <v>3921918</v>
          </cell>
          <cell r="V69">
            <v>3977.6044624746451</v>
          </cell>
          <cell r="X69">
            <v>95984</v>
          </cell>
          <cell r="Y69">
            <v>200000</v>
          </cell>
          <cell r="Z69">
            <v>0</v>
          </cell>
          <cell r="AA69">
            <v>170332.96523287491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466316.96523287491</v>
          </cell>
          <cell r="AL69">
            <v>970</v>
          </cell>
          <cell r="AM69">
            <v>3917.9403955375255</v>
          </cell>
          <cell r="AN69">
            <v>3800402.1836714</v>
          </cell>
          <cell r="AO69">
            <v>466316.96523287491</v>
          </cell>
          <cell r="AP69">
            <v>4266719.1489042751</v>
          </cell>
          <cell r="AQ69">
            <v>4032.6343946828088</v>
          </cell>
          <cell r="AR69">
            <v>3911655.3628423247</v>
          </cell>
          <cell r="AS69">
            <v>466316.96523287491</v>
          </cell>
          <cell r="AT69">
            <v>4377972.3280751994</v>
          </cell>
          <cell r="AU69">
            <v>4578209.431833961</v>
          </cell>
          <cell r="AV69">
            <v>0</v>
          </cell>
          <cell r="AW69">
            <v>-200237.10375876166</v>
          </cell>
          <cell r="AX69">
            <v>0</v>
          </cell>
          <cell r="AY69" t="str">
            <v>CEILING</v>
          </cell>
          <cell r="AZ69">
            <v>0</v>
          </cell>
          <cell r="BA69">
            <v>201799</v>
          </cell>
          <cell r="BB69">
            <v>170332.96523287491</v>
          </cell>
          <cell r="BC69">
            <v>0</v>
          </cell>
          <cell r="BD69">
            <v>0</v>
          </cell>
        </row>
        <row r="70">
          <cell r="A70">
            <v>4602</v>
          </cell>
          <cell r="B70" t="str">
            <v>Manor CE School</v>
          </cell>
          <cell r="D70">
            <v>914</v>
          </cell>
          <cell r="E70">
            <v>3935520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33774</v>
          </cell>
          <cell r="Q70">
            <v>200000</v>
          </cell>
          <cell r="R70">
            <v>0</v>
          </cell>
          <cell r="S70">
            <v>0</v>
          </cell>
          <cell r="T70">
            <v>0</v>
          </cell>
          <cell r="U70">
            <v>3701746</v>
          </cell>
          <cell r="V70">
            <v>4050.0503282275713</v>
          </cell>
          <cell r="X70">
            <v>34733</v>
          </cell>
          <cell r="Y70">
            <v>200000</v>
          </cell>
          <cell r="Z70">
            <v>0</v>
          </cell>
          <cell r="AA70">
            <v>138660.05524239561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373393.05524239561</v>
          </cell>
          <cell r="AL70">
            <v>944</v>
          </cell>
          <cell r="AM70">
            <v>3989.2995733041575</v>
          </cell>
          <cell r="AN70">
            <v>3765898.7971991249</v>
          </cell>
          <cell r="AO70">
            <v>373393.05524239561</v>
          </cell>
          <cell r="AP70">
            <v>4139291.8524415204</v>
          </cell>
          <cell r="AQ70">
            <v>4106.0825448807464</v>
          </cell>
          <cell r="AR70">
            <v>3876141.9223674247</v>
          </cell>
          <cell r="AS70">
            <v>373393.05524239561</v>
          </cell>
          <cell r="AT70">
            <v>4249534.9776098207</v>
          </cell>
          <cell r="AU70">
            <v>4167094.0824245689</v>
          </cell>
          <cell r="AV70">
            <v>0</v>
          </cell>
          <cell r="AW70">
            <v>0</v>
          </cell>
          <cell r="AX70">
            <v>0</v>
          </cell>
          <cell r="AY70" t="str">
            <v>TARGET</v>
          </cell>
          <cell r="AZ70">
            <v>0</v>
          </cell>
          <cell r="BA70">
            <v>0</v>
          </cell>
          <cell r="BB70">
            <v>138660.05524239561</v>
          </cell>
          <cell r="BC70">
            <v>0</v>
          </cell>
          <cell r="BD70">
            <v>0</v>
          </cell>
        </row>
        <row r="71">
          <cell r="A71">
            <v>4229</v>
          </cell>
          <cell r="B71" t="str">
            <v>Millthorpe School</v>
          </cell>
          <cell r="D71">
            <v>961</v>
          </cell>
          <cell r="E71">
            <v>4236371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92516</v>
          </cell>
          <cell r="Q71">
            <v>200000</v>
          </cell>
          <cell r="R71">
            <v>0</v>
          </cell>
          <cell r="S71">
            <v>0</v>
          </cell>
          <cell r="T71">
            <v>0</v>
          </cell>
          <cell r="U71">
            <v>3943855</v>
          </cell>
          <cell r="V71">
            <v>4103.907388137357</v>
          </cell>
          <cell r="X71">
            <v>95142</v>
          </cell>
          <cell r="Y71">
            <v>200000</v>
          </cell>
          <cell r="Z71">
            <v>0</v>
          </cell>
          <cell r="AA71">
            <v>156305.45568279526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451447.45568279526</v>
          </cell>
          <cell r="AL71">
            <v>940</v>
          </cell>
          <cell r="AM71">
            <v>4042.3487773152965</v>
          </cell>
          <cell r="AN71">
            <v>3799807.8506763787</v>
          </cell>
          <cell r="AO71">
            <v>451447.45568279526</v>
          </cell>
          <cell r="AP71">
            <v>4251255.3063591737</v>
          </cell>
          <cell r="AQ71">
            <v>4160.6847141606886</v>
          </cell>
          <cell r="AR71">
            <v>3911043.6313110474</v>
          </cell>
          <cell r="AS71">
            <v>451447.45568279526</v>
          </cell>
          <cell r="AT71">
            <v>4362491.0869938424</v>
          </cell>
          <cell r="AU71">
            <v>4342637.3808658067</v>
          </cell>
          <cell r="AV71">
            <v>0</v>
          </cell>
          <cell r="AW71">
            <v>0</v>
          </cell>
          <cell r="AX71">
            <v>0</v>
          </cell>
          <cell r="AY71" t="str">
            <v>TARGET</v>
          </cell>
          <cell r="AZ71">
            <v>0</v>
          </cell>
          <cell r="BA71">
            <v>0</v>
          </cell>
          <cell r="BB71">
            <v>156305.45568279526</v>
          </cell>
          <cell r="BC71">
            <v>0</v>
          </cell>
          <cell r="BD71">
            <v>0</v>
          </cell>
        </row>
        <row r="72">
          <cell r="A72">
            <v>4703</v>
          </cell>
          <cell r="B72" t="str">
            <v>York High School</v>
          </cell>
          <cell r="D72">
            <v>783</v>
          </cell>
          <cell r="E72">
            <v>4246276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35589</v>
          </cell>
          <cell r="M72">
            <v>10211</v>
          </cell>
          <cell r="N72">
            <v>0</v>
          </cell>
          <cell r="O72">
            <v>0</v>
          </cell>
          <cell r="P72">
            <v>186897</v>
          </cell>
          <cell r="Q72">
            <v>200000</v>
          </cell>
          <cell r="R72">
            <v>0</v>
          </cell>
          <cell r="S72">
            <v>0</v>
          </cell>
          <cell r="T72">
            <v>0</v>
          </cell>
          <cell r="U72">
            <v>3813579</v>
          </cell>
          <cell r="V72">
            <v>4870.4712643678158</v>
          </cell>
          <cell r="X72">
            <v>192202</v>
          </cell>
          <cell r="Y72">
            <v>200000</v>
          </cell>
          <cell r="Z72">
            <v>0</v>
          </cell>
          <cell r="AA72">
            <v>177237.58231397666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569439.58231397672</v>
          </cell>
          <cell r="AL72">
            <v>791</v>
          </cell>
          <cell r="AM72">
            <v>4797.4141954022989</v>
          </cell>
          <cell r="AN72">
            <v>3794754.6285632183</v>
          </cell>
          <cell r="AO72">
            <v>569439.58231397672</v>
          </cell>
          <cell r="AP72">
            <v>4364194.210877195</v>
          </cell>
          <cell r="AQ72">
            <v>4937.8539581546238</v>
          </cell>
          <cell r="AR72">
            <v>3905842.4809003077</v>
          </cell>
          <cell r="AS72">
            <v>569439.58231397672</v>
          </cell>
          <cell r="AT72">
            <v>4475282.0632142844</v>
          </cell>
          <cell r="AU72">
            <v>4357901.4010030143</v>
          </cell>
          <cell r="AV72">
            <v>6292.8098741807044</v>
          </cell>
          <cell r="AW72">
            <v>0</v>
          </cell>
          <cell r="AX72">
            <v>0</v>
          </cell>
          <cell r="AY72" t="str">
            <v>FLOOR</v>
          </cell>
          <cell r="AZ72">
            <v>0</v>
          </cell>
          <cell r="BA72">
            <v>45800</v>
          </cell>
          <cell r="BB72">
            <v>177237.58231397666</v>
          </cell>
          <cell r="BC72">
            <v>0</v>
          </cell>
          <cell r="BD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</row>
        <row r="74">
          <cell r="A74">
            <v>0</v>
          </cell>
          <cell r="B74" t="str">
            <v>Total All Secondary Schools</v>
          </cell>
          <cell r="C74">
            <v>0</v>
          </cell>
          <cell r="D74">
            <v>8560</v>
          </cell>
          <cell r="E74">
            <v>39500406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388131</v>
          </cell>
          <cell r="M74">
            <v>61267</v>
          </cell>
          <cell r="N74">
            <v>0</v>
          </cell>
          <cell r="O74">
            <v>0</v>
          </cell>
          <cell r="P74">
            <v>796687</v>
          </cell>
          <cell r="Q74">
            <v>2000000</v>
          </cell>
          <cell r="R74">
            <v>0</v>
          </cell>
          <cell r="S74">
            <v>0</v>
          </cell>
          <cell r="T74">
            <v>0</v>
          </cell>
          <cell r="U74">
            <v>36254321</v>
          </cell>
          <cell r="V74">
            <v>4235.3178738317756</v>
          </cell>
          <cell r="X74">
            <v>819301</v>
          </cell>
          <cell r="Y74">
            <v>2000000</v>
          </cell>
          <cell r="Z74">
            <v>0</v>
          </cell>
          <cell r="AA74">
            <v>1429874.9999999998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4249176</v>
          </cell>
          <cell r="AL74">
            <v>8422</v>
          </cell>
          <cell r="AM74">
            <v>4171.7881057242985</v>
          </cell>
          <cell r="AN74">
            <v>34959199.580139369</v>
          </cell>
          <cell r="AO74">
            <v>4249176</v>
          </cell>
          <cell r="AP74">
            <v>39208375.580139361</v>
          </cell>
          <cell r="AQ74">
            <v>4293.9132564737147</v>
          </cell>
          <cell r="AR74">
            <v>35982597.080349214</v>
          </cell>
          <cell r="AS74">
            <v>4249176</v>
          </cell>
          <cell r="AT74">
            <v>40231773.080349214</v>
          </cell>
          <cell r="AU74">
            <v>39874316.07192196</v>
          </cell>
          <cell r="AV74">
            <v>230369.41583617334</v>
          </cell>
          <cell r="AW74">
            <v>-334599.93115998944</v>
          </cell>
          <cell r="AX74">
            <v>0</v>
          </cell>
          <cell r="AY74">
            <v>0</v>
          </cell>
          <cell r="AZ74">
            <v>0</v>
          </cell>
          <cell r="BA74">
            <v>449398</v>
          </cell>
          <cell r="BB74">
            <v>1429874.9999999998</v>
          </cell>
          <cell r="BC74">
            <v>0</v>
          </cell>
          <cell r="BD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 t="e">
            <v>#REF!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</row>
        <row r="76">
          <cell r="A76">
            <v>0</v>
          </cell>
          <cell r="B76" t="str">
            <v>TOTAL ALL SCHOOLS</v>
          </cell>
          <cell r="C76">
            <v>0</v>
          </cell>
          <cell r="D76">
            <v>21004</v>
          </cell>
          <cell r="E76">
            <v>86126813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1621903</v>
          </cell>
          <cell r="L76">
            <v>744355</v>
          </cell>
          <cell r="M76">
            <v>130633</v>
          </cell>
          <cell r="N76">
            <v>483892</v>
          </cell>
          <cell r="O76">
            <v>0</v>
          </cell>
          <cell r="P76">
            <v>1429164</v>
          </cell>
          <cell r="Q76">
            <v>12400000</v>
          </cell>
          <cell r="R76">
            <v>0</v>
          </cell>
          <cell r="S76">
            <v>0</v>
          </cell>
          <cell r="T76">
            <v>0</v>
          </cell>
          <cell r="U76">
            <v>69316866</v>
          </cell>
          <cell r="V76">
            <v>3300.1745381832034</v>
          </cell>
          <cell r="X76">
            <v>1469689</v>
          </cell>
          <cell r="Y76">
            <v>12400000</v>
          </cell>
          <cell r="Z76">
            <v>0</v>
          </cell>
          <cell r="AA76">
            <v>2339251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16208940.000000004</v>
          </cell>
          <cell r="AL76">
            <v>21194</v>
          </cell>
          <cell r="AM76">
            <v>3250.6719201104552</v>
          </cell>
          <cell r="AN76">
            <v>68387325.144335464</v>
          </cell>
          <cell r="AO76">
            <v>16208940.000000004</v>
          </cell>
          <cell r="AP76">
            <v>84596265.144335464</v>
          </cell>
          <cell r="AQ76">
            <v>3345.8322657990716</v>
          </cell>
          <cell r="AR76">
            <v>70389299.401163474</v>
          </cell>
          <cell r="AS76">
            <v>16208940.000000004</v>
          </cell>
          <cell r="AT76">
            <v>86598239.401163459</v>
          </cell>
          <cell r="AU76">
            <v>85606568.265417069</v>
          </cell>
          <cell r="AV76">
            <v>877255.57629409747</v>
          </cell>
          <cell r="AW76">
            <v>-877255.57144644251</v>
          </cell>
          <cell r="AX76" t="e">
            <v>#REF!</v>
          </cell>
          <cell r="AY76">
            <v>0</v>
          </cell>
          <cell r="AZ76">
            <v>0</v>
          </cell>
          <cell r="BA76">
            <v>2980783</v>
          </cell>
          <cell r="BB76">
            <v>2339251</v>
          </cell>
          <cell r="BC76">
            <v>0</v>
          </cell>
          <cell r="BD76">
            <v>0</v>
          </cell>
        </row>
      </sheetData>
      <sheetData sheetId="8">
        <row r="7">
          <cell r="B7" t="str">
            <v>PRIMARY SCHOOLS</v>
          </cell>
          <cell r="E7">
            <v>2122</v>
          </cell>
          <cell r="N7">
            <v>2141</v>
          </cell>
          <cell r="Q7">
            <v>377</v>
          </cell>
          <cell r="U7">
            <v>1403</v>
          </cell>
          <cell r="X7">
            <v>667</v>
          </cell>
          <cell r="AA7">
            <v>201</v>
          </cell>
          <cell r="AE7">
            <v>198</v>
          </cell>
          <cell r="AH7">
            <v>156</v>
          </cell>
          <cell r="AI7">
            <v>19862</v>
          </cell>
        </row>
        <row r="8">
          <cell r="A8">
            <v>2000</v>
          </cell>
          <cell r="B8" t="str">
            <v>Acomb Primary</v>
          </cell>
          <cell r="D8">
            <v>223</v>
          </cell>
          <cell r="E8">
            <v>473206</v>
          </cell>
          <cell r="J8">
            <v>223</v>
          </cell>
          <cell r="K8">
            <v>473206</v>
          </cell>
          <cell r="M8">
            <v>12.999999999999991</v>
          </cell>
          <cell r="N8">
            <v>27832.999999999982</v>
          </cell>
          <cell r="P8">
            <v>1.0182648401826484</v>
          </cell>
          <cell r="Q8">
            <v>383.88584474885846</v>
          </cell>
          <cell r="S8">
            <v>29.983193277310917</v>
          </cell>
          <cell r="U8">
            <v>42066.420168067219</v>
          </cell>
          <cell r="W8">
            <v>1.2598870056497167</v>
          </cell>
          <cell r="X8">
            <v>840.34463276836107</v>
          </cell>
          <cell r="Z8">
            <v>3.9999999999999991</v>
          </cell>
          <cell r="AA8">
            <v>803.99999999999977</v>
          </cell>
          <cell r="AC8" t="str">
            <v>No</v>
          </cell>
          <cell r="AD8">
            <v>0</v>
          </cell>
          <cell r="AE8">
            <v>0</v>
          </cell>
        </row>
        <row r="9">
          <cell r="A9">
            <v>3229</v>
          </cell>
          <cell r="B9" t="str">
            <v>Archbishop of York's CE Junior</v>
          </cell>
          <cell r="D9">
            <v>229</v>
          </cell>
          <cell r="E9">
            <v>485938</v>
          </cell>
          <cell r="J9">
            <v>229</v>
          </cell>
          <cell r="K9">
            <v>485938</v>
          </cell>
          <cell r="M9">
            <v>6.9999999999999885</v>
          </cell>
          <cell r="N9">
            <v>14986.999999999975</v>
          </cell>
          <cell r="P9">
            <v>0</v>
          </cell>
          <cell r="Q9">
            <v>0</v>
          </cell>
          <cell r="S9">
            <v>49.353448275861993</v>
          </cell>
          <cell r="U9">
            <v>69242.887931034376</v>
          </cell>
          <cell r="W9">
            <v>1.0000000000000009</v>
          </cell>
          <cell r="X9">
            <v>667.00000000000057</v>
          </cell>
          <cell r="Z9">
            <v>8.9999999999999964</v>
          </cell>
          <cell r="AA9">
            <v>1808.9999999999993</v>
          </cell>
          <cell r="AC9" t="str">
            <v>No</v>
          </cell>
          <cell r="AD9">
            <v>0</v>
          </cell>
          <cell r="AE9">
            <v>0</v>
          </cell>
        </row>
        <row r="10">
          <cell r="A10">
            <v>2431</v>
          </cell>
          <cell r="B10" t="str">
            <v>Badger Hill Primary</v>
          </cell>
          <cell r="D10">
            <v>144</v>
          </cell>
          <cell r="E10">
            <v>305568</v>
          </cell>
          <cell r="J10">
            <v>144</v>
          </cell>
          <cell r="K10">
            <v>305568</v>
          </cell>
          <cell r="M10">
            <v>9.062937062937058</v>
          </cell>
          <cell r="N10">
            <v>19403.748251748242</v>
          </cell>
          <cell r="P10">
            <v>0</v>
          </cell>
          <cell r="Q10">
            <v>0</v>
          </cell>
          <cell r="S10">
            <v>20.869565217391298</v>
          </cell>
          <cell r="U10">
            <v>29279.999999999989</v>
          </cell>
          <cell r="W10">
            <v>27.789473684210545</v>
          </cell>
          <cell r="X10">
            <v>18535.578947368434</v>
          </cell>
          <cell r="Z10">
            <v>17.118881118881138</v>
          </cell>
          <cell r="AA10">
            <v>3440.8951048951085</v>
          </cell>
          <cell r="AC10" t="str">
            <v>No</v>
          </cell>
          <cell r="AD10">
            <v>0</v>
          </cell>
          <cell r="AE10">
            <v>0</v>
          </cell>
        </row>
        <row r="11">
          <cell r="A11">
            <v>2386</v>
          </cell>
          <cell r="B11" t="str">
            <v>Bishopthorpe Infant</v>
          </cell>
          <cell r="D11">
            <v>179</v>
          </cell>
          <cell r="E11">
            <v>379838</v>
          </cell>
          <cell r="J11">
            <v>179</v>
          </cell>
          <cell r="K11">
            <v>379838</v>
          </cell>
          <cell r="M11">
            <v>6.9999999999999911</v>
          </cell>
          <cell r="N11">
            <v>14986.999999999982</v>
          </cell>
          <cell r="P11">
            <v>0</v>
          </cell>
          <cell r="Q11">
            <v>0</v>
          </cell>
          <cell r="S11">
            <v>35.491379310344911</v>
          </cell>
          <cell r="U11">
            <v>49794.405172413914</v>
          </cell>
          <cell r="W11">
            <v>1.491666666666666</v>
          </cell>
          <cell r="X11">
            <v>994.94166666666626</v>
          </cell>
          <cell r="Z11">
            <v>2</v>
          </cell>
          <cell r="AA11">
            <v>402</v>
          </cell>
          <cell r="AC11" t="str">
            <v>No</v>
          </cell>
          <cell r="AD11">
            <v>0</v>
          </cell>
          <cell r="AE11">
            <v>0</v>
          </cell>
        </row>
        <row r="12">
          <cell r="A12">
            <v>2024</v>
          </cell>
          <cell r="B12" t="str">
            <v>Burton Green Primary</v>
          </cell>
          <cell r="D12">
            <v>165</v>
          </cell>
          <cell r="E12">
            <v>350130</v>
          </cell>
          <cell r="J12">
            <v>165</v>
          </cell>
          <cell r="K12">
            <v>350130</v>
          </cell>
          <cell r="M12">
            <v>58.416149068322923</v>
          </cell>
          <cell r="N12">
            <v>125068.97515527938</v>
          </cell>
          <cell r="P12">
            <v>0</v>
          </cell>
          <cell r="Q12">
            <v>0</v>
          </cell>
          <cell r="S12">
            <v>80.70652173913048</v>
          </cell>
          <cell r="U12">
            <v>113231.25000000006</v>
          </cell>
          <cell r="W12">
            <v>10.457746478873233</v>
          </cell>
          <cell r="X12">
            <v>6975.316901408446</v>
          </cell>
          <cell r="Z12">
            <v>18.447204968944124</v>
          </cell>
          <cell r="AA12">
            <v>3707.8881987577688</v>
          </cell>
          <cell r="AC12" t="str">
            <v>No</v>
          </cell>
          <cell r="AD12">
            <v>0</v>
          </cell>
          <cell r="AE12">
            <v>0</v>
          </cell>
        </row>
        <row r="13">
          <cell r="A13">
            <v>2003</v>
          </cell>
          <cell r="B13" t="str">
            <v>Carr Infant</v>
          </cell>
          <cell r="D13">
            <v>229</v>
          </cell>
          <cell r="E13">
            <v>485938</v>
          </cell>
          <cell r="J13">
            <v>229</v>
          </cell>
          <cell r="K13">
            <v>485938</v>
          </cell>
          <cell r="M13">
            <v>51.449339207048439</v>
          </cell>
          <cell r="N13">
            <v>110153.0352422907</v>
          </cell>
          <cell r="P13">
            <v>0</v>
          </cell>
          <cell r="Q13">
            <v>0</v>
          </cell>
          <cell r="S13">
            <v>61.171232876712359</v>
          </cell>
          <cell r="U13">
            <v>85823.239726027445</v>
          </cell>
          <cell r="W13">
            <v>10.904761904761902</v>
          </cell>
          <cell r="X13">
            <v>7273.4761904761881</v>
          </cell>
          <cell r="Z13">
            <v>11.096916299559474</v>
          </cell>
          <cell r="AA13">
            <v>2230.4801762114544</v>
          </cell>
          <cell r="AC13" t="str">
            <v>No</v>
          </cell>
          <cell r="AD13">
            <v>0</v>
          </cell>
          <cell r="AE13">
            <v>0</v>
          </cell>
        </row>
        <row r="14">
          <cell r="A14">
            <v>2002</v>
          </cell>
          <cell r="B14" t="str">
            <v>Carr Junior</v>
          </cell>
          <cell r="D14">
            <v>219</v>
          </cell>
          <cell r="E14">
            <v>464718</v>
          </cell>
          <cell r="J14">
            <v>219</v>
          </cell>
          <cell r="K14">
            <v>464718</v>
          </cell>
          <cell r="M14">
            <v>35.000000000000107</v>
          </cell>
          <cell r="N14">
            <v>74935.000000000233</v>
          </cell>
          <cell r="P14">
            <v>3.9818181818181815</v>
          </cell>
          <cell r="Q14">
            <v>1501.1454545454544</v>
          </cell>
          <cell r="S14">
            <v>60.712871287128657</v>
          </cell>
          <cell r="U14">
            <v>85180.158415841506</v>
          </cell>
          <cell r="W14">
            <v>4</v>
          </cell>
          <cell r="X14">
            <v>2668</v>
          </cell>
          <cell r="Z14">
            <v>18</v>
          </cell>
          <cell r="AA14">
            <v>3618</v>
          </cell>
          <cell r="AC14" t="str">
            <v>No</v>
          </cell>
          <cell r="AD14">
            <v>0</v>
          </cell>
          <cell r="AE14">
            <v>0</v>
          </cell>
        </row>
        <row r="15">
          <cell r="A15">
            <v>2018</v>
          </cell>
          <cell r="B15" t="str">
            <v>Clifton Green Primary</v>
          </cell>
          <cell r="D15">
            <v>362</v>
          </cell>
          <cell r="E15">
            <v>768164</v>
          </cell>
          <cell r="J15">
            <v>362</v>
          </cell>
          <cell r="K15">
            <v>768164</v>
          </cell>
          <cell r="M15">
            <v>126.04456824512546</v>
          </cell>
          <cell r="N15">
            <v>269861.42061281361</v>
          </cell>
          <cell r="P15">
            <v>1.0313390313390314</v>
          </cell>
          <cell r="Q15">
            <v>388.81481481481484</v>
          </cell>
          <cell r="S15">
            <v>108.77832512315256</v>
          </cell>
          <cell r="U15">
            <v>152615.99014778304</v>
          </cell>
          <cell r="W15">
            <v>34.877076411960132</v>
          </cell>
          <cell r="X15">
            <v>23263.009966777408</v>
          </cell>
          <cell r="Z15">
            <v>30.250696378830099</v>
          </cell>
          <cell r="AA15">
            <v>6080.3899721448497</v>
          </cell>
          <cell r="AC15" t="str">
            <v>No</v>
          </cell>
          <cell r="AD15">
            <v>0</v>
          </cell>
          <cell r="AE15">
            <v>0</v>
          </cell>
        </row>
        <row r="16">
          <cell r="A16">
            <v>2430</v>
          </cell>
          <cell r="B16" t="str">
            <v>Clifton With Rawcliffe Primary</v>
          </cell>
          <cell r="D16">
            <v>536</v>
          </cell>
          <cell r="E16">
            <v>1137392</v>
          </cell>
          <cell r="J16">
            <v>536</v>
          </cell>
          <cell r="K16">
            <v>1137392</v>
          </cell>
          <cell r="M16">
            <v>23.042990654205621</v>
          </cell>
          <cell r="N16">
            <v>49335.042990654234</v>
          </cell>
          <cell r="P16">
            <v>3.1102514506769827</v>
          </cell>
          <cell r="Q16">
            <v>1172.5647969052225</v>
          </cell>
          <cell r="S16">
            <v>41.535055350553513</v>
          </cell>
          <cell r="U16">
            <v>58273.682656826582</v>
          </cell>
          <cell r="W16">
            <v>16.862921348314622</v>
          </cell>
          <cell r="X16">
            <v>11247.568539325852</v>
          </cell>
          <cell r="Z16">
            <v>13.024299065420534</v>
          </cell>
          <cell r="AA16">
            <v>2617.8841121495275</v>
          </cell>
          <cell r="AC16" t="str">
            <v>No</v>
          </cell>
          <cell r="AD16">
            <v>0</v>
          </cell>
          <cell r="AE16">
            <v>0</v>
          </cell>
        </row>
        <row r="17">
          <cell r="A17">
            <v>2013</v>
          </cell>
          <cell r="B17" t="str">
            <v>Copmanthorpe Primary</v>
          </cell>
          <cell r="D17">
            <v>349</v>
          </cell>
          <cell r="E17">
            <v>740578</v>
          </cell>
          <cell r="J17">
            <v>349</v>
          </cell>
          <cell r="K17">
            <v>740578</v>
          </cell>
          <cell r="M17">
            <v>12.034482758620706</v>
          </cell>
          <cell r="N17">
            <v>25765.827586206931</v>
          </cell>
          <cell r="P17">
            <v>0</v>
          </cell>
          <cell r="Q17">
            <v>0</v>
          </cell>
          <cell r="S17">
            <v>35.06698564593318</v>
          </cell>
          <cell r="U17">
            <v>49198.98086124425</v>
          </cell>
          <cell r="W17">
            <v>5.8557046979865817</v>
          </cell>
          <cell r="X17">
            <v>3905.75503355705</v>
          </cell>
          <cell r="Z17">
            <v>56.160919540229862</v>
          </cell>
          <cell r="AA17">
            <v>11288.344827586203</v>
          </cell>
          <cell r="AC17" t="str">
            <v>No</v>
          </cell>
          <cell r="AD17">
            <v>0</v>
          </cell>
          <cell r="AE17">
            <v>0</v>
          </cell>
        </row>
        <row r="18">
          <cell r="A18">
            <v>2006</v>
          </cell>
          <cell r="B18" t="str">
            <v>Derwent Infant</v>
          </cell>
          <cell r="D18">
            <v>45</v>
          </cell>
          <cell r="E18">
            <v>95490</v>
          </cell>
          <cell r="J18">
            <v>45</v>
          </cell>
          <cell r="K18">
            <v>95490</v>
          </cell>
          <cell r="M18">
            <v>22.999999999999993</v>
          </cell>
          <cell r="N18">
            <v>49242.999999999985</v>
          </cell>
          <cell r="P18">
            <v>1.9565217391304348</v>
          </cell>
          <cell r="Q18">
            <v>737.60869565217388</v>
          </cell>
          <cell r="S18">
            <v>13.965517241379315</v>
          </cell>
          <cell r="U18">
            <v>19593.620689655178</v>
          </cell>
          <cell r="W18">
            <v>4.5</v>
          </cell>
          <cell r="X18">
            <v>3001.5</v>
          </cell>
          <cell r="Z18">
            <v>7.0000000000000204</v>
          </cell>
          <cell r="AA18">
            <v>1407.0000000000041</v>
          </cell>
          <cell r="AC18" t="str">
            <v>No</v>
          </cell>
          <cell r="AD18">
            <v>0</v>
          </cell>
          <cell r="AE18">
            <v>0</v>
          </cell>
        </row>
        <row r="19">
          <cell r="A19">
            <v>2005</v>
          </cell>
          <cell r="B19" t="str">
            <v>Derwent Junior</v>
          </cell>
          <cell r="D19">
            <v>54</v>
          </cell>
          <cell r="E19">
            <v>114588</v>
          </cell>
          <cell r="J19">
            <v>54</v>
          </cell>
          <cell r="K19">
            <v>114588</v>
          </cell>
          <cell r="M19">
            <v>21.999999999999979</v>
          </cell>
          <cell r="N19">
            <v>47101.999999999956</v>
          </cell>
          <cell r="P19">
            <v>0</v>
          </cell>
          <cell r="Q19">
            <v>0</v>
          </cell>
          <cell r="S19">
            <v>15.120000000000001</v>
          </cell>
          <cell r="U19">
            <v>21213.360000000001</v>
          </cell>
          <cell r="W19">
            <v>0.999999999999999</v>
          </cell>
          <cell r="X19">
            <v>666.99999999999932</v>
          </cell>
          <cell r="Z19">
            <v>7.0000000000000204</v>
          </cell>
          <cell r="AA19">
            <v>1407.0000000000041</v>
          </cell>
          <cell r="AC19" t="str">
            <v>No</v>
          </cell>
          <cell r="AD19">
            <v>0</v>
          </cell>
          <cell r="AE19">
            <v>0</v>
          </cell>
        </row>
        <row r="20">
          <cell r="A20">
            <v>2007</v>
          </cell>
          <cell r="B20" t="str">
            <v>Dringhouses Primary</v>
          </cell>
          <cell r="D20">
            <v>295</v>
          </cell>
          <cell r="E20">
            <v>625990</v>
          </cell>
          <cell r="J20">
            <v>295</v>
          </cell>
          <cell r="K20">
            <v>625990</v>
          </cell>
          <cell r="M20">
            <v>23.000000000000014</v>
          </cell>
          <cell r="N20">
            <v>49243.000000000029</v>
          </cell>
          <cell r="P20">
            <v>1.9218241042345279</v>
          </cell>
          <cell r="Q20">
            <v>724.52768729641696</v>
          </cell>
          <cell r="S20">
            <v>25.974842767295595</v>
          </cell>
          <cell r="U20">
            <v>36442.704402515723</v>
          </cell>
          <cell r="W20">
            <v>7.08</v>
          </cell>
          <cell r="X20">
            <v>4722.3599999999997</v>
          </cell>
          <cell r="Z20">
            <v>21</v>
          </cell>
          <cell r="AA20">
            <v>4221</v>
          </cell>
          <cell r="AC20" t="str">
            <v>No</v>
          </cell>
          <cell r="AD20">
            <v>0</v>
          </cell>
          <cell r="AE20">
            <v>0</v>
          </cell>
        </row>
        <row r="21">
          <cell r="A21">
            <v>3151</v>
          </cell>
          <cell r="B21" t="str">
            <v>Dunnington Primary</v>
          </cell>
          <cell r="D21">
            <v>249</v>
          </cell>
          <cell r="E21">
            <v>528378</v>
          </cell>
          <cell r="J21">
            <v>249</v>
          </cell>
          <cell r="K21">
            <v>528378</v>
          </cell>
          <cell r="M21">
            <v>10.040322580645164</v>
          </cell>
          <cell r="N21">
            <v>21496.330645161295</v>
          </cell>
          <cell r="P21">
            <v>0</v>
          </cell>
          <cell r="Q21">
            <v>0</v>
          </cell>
          <cell r="S21">
            <v>5.976</v>
          </cell>
          <cell r="U21">
            <v>8384.3279999999995</v>
          </cell>
          <cell r="W21">
            <v>3.540284360189577</v>
          </cell>
          <cell r="X21">
            <v>2361.3696682464479</v>
          </cell>
          <cell r="Z21">
            <v>15.060483870967733</v>
          </cell>
          <cell r="AA21">
            <v>3027.1572580645143</v>
          </cell>
          <cell r="AC21" t="str">
            <v>No</v>
          </cell>
          <cell r="AD21">
            <v>0</v>
          </cell>
          <cell r="AE21">
            <v>0</v>
          </cell>
        </row>
        <row r="22">
          <cell r="A22">
            <v>3152</v>
          </cell>
          <cell r="B22" t="str">
            <v>Elvington Primary</v>
          </cell>
          <cell r="D22">
            <v>135</v>
          </cell>
          <cell r="E22">
            <v>286470</v>
          </cell>
          <cell r="J22">
            <v>135</v>
          </cell>
          <cell r="K22">
            <v>286470</v>
          </cell>
          <cell r="M22">
            <v>2.9999999999999969</v>
          </cell>
          <cell r="N22">
            <v>6422.9999999999936</v>
          </cell>
          <cell r="P22">
            <v>0</v>
          </cell>
          <cell r="Q22">
            <v>0</v>
          </cell>
          <cell r="S22">
            <v>13.309859154929571</v>
          </cell>
          <cell r="U22">
            <v>18673.732394366187</v>
          </cell>
          <cell r="W22">
            <v>0</v>
          </cell>
          <cell r="X22">
            <v>0</v>
          </cell>
          <cell r="Z22">
            <v>14.000000000000041</v>
          </cell>
          <cell r="AA22">
            <v>2814.0000000000082</v>
          </cell>
          <cell r="AC22" t="str">
            <v>No</v>
          </cell>
          <cell r="AD22">
            <v>0</v>
          </cell>
          <cell r="AE22">
            <v>0</v>
          </cell>
        </row>
        <row r="23">
          <cell r="A23">
            <v>2008</v>
          </cell>
          <cell r="B23" t="str">
            <v>Fishergate Primary</v>
          </cell>
          <cell r="D23">
            <v>230</v>
          </cell>
          <cell r="E23">
            <v>488060</v>
          </cell>
          <cell r="J23">
            <v>230</v>
          </cell>
          <cell r="K23">
            <v>488060</v>
          </cell>
          <cell r="M23">
            <v>21.5625</v>
          </cell>
          <cell r="N23">
            <v>46165.3125</v>
          </cell>
          <cell r="P23">
            <v>1.1274509803921569</v>
          </cell>
          <cell r="Q23">
            <v>425.04901960784315</v>
          </cell>
          <cell r="S23">
            <v>29.918699186991841</v>
          </cell>
          <cell r="U23">
            <v>41975.93495934955</v>
          </cell>
          <cell r="W23">
            <v>25.274725274725299</v>
          </cell>
          <cell r="X23">
            <v>16858.241758241773</v>
          </cell>
          <cell r="Z23">
            <v>32.85714285714289</v>
          </cell>
          <cell r="AA23">
            <v>6604.285714285721</v>
          </cell>
          <cell r="AC23" t="str">
            <v>No</v>
          </cell>
          <cell r="AD23">
            <v>0</v>
          </cell>
          <cell r="AE23">
            <v>0</v>
          </cell>
        </row>
        <row r="24">
          <cell r="A24">
            <v>2009</v>
          </cell>
          <cell r="B24" t="str">
            <v>Haxby Road Primary</v>
          </cell>
          <cell r="D24">
            <v>159</v>
          </cell>
          <cell r="E24">
            <v>337398</v>
          </cell>
          <cell r="J24">
            <v>159</v>
          </cell>
          <cell r="K24">
            <v>337398</v>
          </cell>
          <cell r="M24">
            <v>65.673913043478336</v>
          </cell>
          <cell r="N24">
            <v>140607.84782608712</v>
          </cell>
          <cell r="P24">
            <v>3.494505494505495</v>
          </cell>
          <cell r="Q24">
            <v>1317.4285714285716</v>
          </cell>
          <cell r="S24">
            <v>73.14</v>
          </cell>
          <cell r="U24">
            <v>102615.42</v>
          </cell>
          <cell r="W24">
            <v>19.120253164556956</v>
          </cell>
          <cell r="X24">
            <v>12753.208860759491</v>
          </cell>
          <cell r="Z24">
            <v>19.010869565217337</v>
          </cell>
          <cell r="AA24">
            <v>3821.1847826086846</v>
          </cell>
          <cell r="AC24" t="str">
            <v>No</v>
          </cell>
          <cell r="AD24">
            <v>0</v>
          </cell>
          <cell r="AE24">
            <v>0</v>
          </cell>
        </row>
        <row r="25">
          <cell r="A25">
            <v>2241</v>
          </cell>
          <cell r="B25" t="str">
            <v>Headlands Primary</v>
          </cell>
          <cell r="D25">
            <v>281</v>
          </cell>
          <cell r="E25">
            <v>596282</v>
          </cell>
          <cell r="J25">
            <v>281</v>
          </cell>
          <cell r="K25">
            <v>596282</v>
          </cell>
          <cell r="M25">
            <v>3.0107142857142817</v>
          </cell>
          <cell r="N25">
            <v>6445.9392857142775</v>
          </cell>
          <cell r="P25">
            <v>0</v>
          </cell>
          <cell r="Q25">
            <v>0</v>
          </cell>
          <cell r="S25">
            <v>21.61538461538461</v>
          </cell>
          <cell r="U25">
            <v>30326.384615384606</v>
          </cell>
          <cell r="W25">
            <v>5.9282700421940895</v>
          </cell>
          <cell r="X25">
            <v>3954.1561181434577</v>
          </cell>
          <cell r="Z25">
            <v>13.046428571428564</v>
          </cell>
          <cell r="AA25">
            <v>2622.3321428571412</v>
          </cell>
          <cell r="AC25" t="str">
            <v>No</v>
          </cell>
          <cell r="AD25">
            <v>0</v>
          </cell>
          <cell r="AE25">
            <v>0</v>
          </cell>
        </row>
        <row r="26">
          <cell r="A26">
            <v>2001</v>
          </cell>
          <cell r="B26" t="str">
            <v>Hempland Primary</v>
          </cell>
          <cell r="D26">
            <v>410</v>
          </cell>
          <cell r="E26">
            <v>870020</v>
          </cell>
          <cell r="J26">
            <v>410</v>
          </cell>
          <cell r="K26">
            <v>870020</v>
          </cell>
          <cell r="M26">
            <v>5.9999999999999938</v>
          </cell>
          <cell r="N26">
            <v>12845.999999999987</v>
          </cell>
          <cell r="P26">
            <v>0.99033816425120769</v>
          </cell>
          <cell r="Q26">
            <v>373.35748792270527</v>
          </cell>
          <cell r="S26">
            <v>59.86725663716804</v>
          </cell>
          <cell r="U26">
            <v>83993.76106194676</v>
          </cell>
          <cell r="W26">
            <v>5.8404558404558218</v>
          </cell>
          <cell r="X26">
            <v>3895.584045584033</v>
          </cell>
          <cell r="Z26">
            <v>6.9999999999999938</v>
          </cell>
          <cell r="AA26">
            <v>1406.9999999999989</v>
          </cell>
          <cell r="AC26" t="str">
            <v>No</v>
          </cell>
          <cell r="AD26">
            <v>0</v>
          </cell>
          <cell r="AE26">
            <v>0</v>
          </cell>
        </row>
        <row r="27">
          <cell r="A27">
            <v>3302</v>
          </cell>
          <cell r="B27" t="str">
            <v>Heworth CE Primary</v>
          </cell>
          <cell r="D27">
            <v>142</v>
          </cell>
          <cell r="E27">
            <v>301324</v>
          </cell>
          <cell r="J27">
            <v>142</v>
          </cell>
          <cell r="K27">
            <v>301324</v>
          </cell>
          <cell r="M27">
            <v>13.000000000000002</v>
          </cell>
          <cell r="N27">
            <v>27833.000000000004</v>
          </cell>
          <cell r="P27">
            <v>0.99300699300699302</v>
          </cell>
          <cell r="Q27">
            <v>374.36363636363637</v>
          </cell>
          <cell r="S27">
            <v>4.115942028985506</v>
          </cell>
          <cell r="U27">
            <v>5774.6666666666652</v>
          </cell>
          <cell r="W27">
            <v>2.3089430894308922</v>
          </cell>
          <cell r="X27">
            <v>1540.0650406504051</v>
          </cell>
          <cell r="Z27">
            <v>1.9999999999999971</v>
          </cell>
          <cell r="AA27">
            <v>401.99999999999943</v>
          </cell>
          <cell r="AC27" t="str">
            <v>No</v>
          </cell>
          <cell r="AD27">
            <v>0</v>
          </cell>
          <cell r="AE27">
            <v>0</v>
          </cell>
        </row>
        <row r="28">
          <cell r="A28">
            <v>2028</v>
          </cell>
          <cell r="B28" t="str">
            <v>Hob Moor Primary</v>
          </cell>
          <cell r="D28">
            <v>269</v>
          </cell>
          <cell r="E28">
            <v>570818</v>
          </cell>
          <cell r="J28">
            <v>269</v>
          </cell>
          <cell r="K28">
            <v>570818</v>
          </cell>
          <cell r="M28">
            <v>89.666666666666572</v>
          </cell>
          <cell r="N28">
            <v>191976.33333333314</v>
          </cell>
          <cell r="P28">
            <v>2.0534351145038165</v>
          </cell>
          <cell r="Q28">
            <v>774.14503816793888</v>
          </cell>
          <cell r="S28">
            <v>58.162162162162105</v>
          </cell>
          <cell r="U28">
            <v>81601.513513513433</v>
          </cell>
          <cell r="W28">
            <v>13.092920353982297</v>
          </cell>
          <cell r="X28">
            <v>8732.9778761061916</v>
          </cell>
          <cell r="Z28">
            <v>23.172284644194761</v>
          </cell>
          <cell r="AA28">
            <v>4657.6292134831474</v>
          </cell>
          <cell r="AC28" t="str">
            <v>No</v>
          </cell>
          <cell r="AD28">
            <v>0</v>
          </cell>
          <cell r="AE28">
            <v>0</v>
          </cell>
          <cell r="AG28">
            <v>269</v>
          </cell>
          <cell r="AH28">
            <v>41964</v>
          </cell>
          <cell r="AI28">
            <v>19862</v>
          </cell>
          <cell r="AJ28">
            <v>61826</v>
          </cell>
          <cell r="AK28">
            <v>182011</v>
          </cell>
          <cell r="AL28">
            <v>120185</v>
          </cell>
        </row>
        <row r="29">
          <cell r="A29">
            <v>2180</v>
          </cell>
          <cell r="B29" t="str">
            <v>Huntington Primary</v>
          </cell>
          <cell r="D29">
            <v>412</v>
          </cell>
          <cell r="E29">
            <v>874264</v>
          </cell>
          <cell r="J29">
            <v>412</v>
          </cell>
          <cell r="K29">
            <v>874264</v>
          </cell>
          <cell r="M29">
            <v>22.053527980535279</v>
          </cell>
          <cell r="N29">
            <v>47216.60340632603</v>
          </cell>
          <cell r="P29">
            <v>3.082294264339152</v>
          </cell>
          <cell r="Q29">
            <v>1162.0249376558604</v>
          </cell>
          <cell r="S29">
            <v>96.425531914893469</v>
          </cell>
          <cell r="U29">
            <v>135285.02127659554</v>
          </cell>
          <cell r="W29">
            <v>6.8476454293629025</v>
          </cell>
          <cell r="X29">
            <v>4567.3795013850558</v>
          </cell>
          <cell r="Z29">
            <v>30.072992700729923</v>
          </cell>
          <cell r="AA29">
            <v>6044.6715328467144</v>
          </cell>
          <cell r="AC29" t="str">
            <v>No</v>
          </cell>
          <cell r="AD29">
            <v>0</v>
          </cell>
          <cell r="AE29">
            <v>0</v>
          </cell>
        </row>
        <row r="30">
          <cell r="A30">
            <v>2011</v>
          </cell>
          <cell r="B30" t="str">
            <v>Knavesmire Primary</v>
          </cell>
          <cell r="D30">
            <v>284</v>
          </cell>
          <cell r="E30">
            <v>602648</v>
          </cell>
          <cell r="J30">
            <v>284</v>
          </cell>
          <cell r="K30">
            <v>602648</v>
          </cell>
          <cell r="M30">
            <v>15</v>
          </cell>
          <cell r="N30">
            <v>32115</v>
          </cell>
          <cell r="P30">
            <v>1.1050583657587549</v>
          </cell>
          <cell r="Q30">
            <v>416.60700389105062</v>
          </cell>
          <cell r="S30">
            <v>43.558282208588857</v>
          </cell>
          <cell r="U30">
            <v>61112.269938650163</v>
          </cell>
          <cell r="W30">
            <v>1.2511013215859046</v>
          </cell>
          <cell r="X30">
            <v>834.48458149779833</v>
          </cell>
          <cell r="Z30">
            <v>12.000000000000009</v>
          </cell>
          <cell r="AA30">
            <v>2412.0000000000018</v>
          </cell>
          <cell r="AC30" t="str">
            <v>No</v>
          </cell>
          <cell r="AD30">
            <v>0</v>
          </cell>
          <cell r="AE30">
            <v>0</v>
          </cell>
        </row>
        <row r="31">
          <cell r="A31">
            <v>2428</v>
          </cell>
          <cell r="B31" t="str">
            <v>Lakeside Primary</v>
          </cell>
          <cell r="D31">
            <v>327</v>
          </cell>
          <cell r="E31">
            <v>693894</v>
          </cell>
          <cell r="J31">
            <v>327</v>
          </cell>
          <cell r="K31">
            <v>693894</v>
          </cell>
          <cell r="M31">
            <v>41.000000000000036</v>
          </cell>
          <cell r="N31">
            <v>87781.000000000073</v>
          </cell>
          <cell r="P31">
            <v>0</v>
          </cell>
          <cell r="Q31">
            <v>0</v>
          </cell>
          <cell r="S31">
            <v>51.438202247191057</v>
          </cell>
          <cell r="U31">
            <v>72167.797752809056</v>
          </cell>
          <cell r="W31">
            <v>20.588888888888899</v>
          </cell>
          <cell r="X31">
            <v>13732.788888888896</v>
          </cell>
          <cell r="Z31">
            <v>17.000000000000014</v>
          </cell>
          <cell r="AA31">
            <v>3417.0000000000027</v>
          </cell>
          <cell r="AC31" t="str">
            <v>No</v>
          </cell>
          <cell r="AD31">
            <v>0</v>
          </cell>
          <cell r="AE31">
            <v>0</v>
          </cell>
        </row>
        <row r="32">
          <cell r="A32">
            <v>3158</v>
          </cell>
          <cell r="B32" t="str">
            <v>Lord Deramore's Primary</v>
          </cell>
          <cell r="D32">
            <v>206</v>
          </cell>
          <cell r="E32">
            <v>437132</v>
          </cell>
          <cell r="J32">
            <v>206</v>
          </cell>
          <cell r="K32">
            <v>437132</v>
          </cell>
          <cell r="M32">
            <v>10.048780487804889</v>
          </cell>
          <cell r="N32">
            <v>21514.439024390267</v>
          </cell>
          <cell r="P32">
            <v>1.961904761904762</v>
          </cell>
          <cell r="Q32">
            <v>739.63809523809527</v>
          </cell>
          <cell r="S32">
            <v>18.230088495575213</v>
          </cell>
          <cell r="U32">
            <v>25576.814159292026</v>
          </cell>
          <cell r="W32">
            <v>27.229885057471261</v>
          </cell>
          <cell r="X32">
            <v>18162.333333333332</v>
          </cell>
          <cell r="Z32">
            <v>13.06341463414635</v>
          </cell>
          <cell r="AA32">
            <v>2625.7463414634162</v>
          </cell>
          <cell r="AC32" t="str">
            <v>No</v>
          </cell>
          <cell r="AD32">
            <v>0</v>
          </cell>
          <cell r="AE32">
            <v>0</v>
          </cell>
        </row>
        <row r="33">
          <cell r="A33">
            <v>3159</v>
          </cell>
          <cell r="B33" t="str">
            <v>Naburn CE Primary</v>
          </cell>
          <cell r="D33">
            <v>87</v>
          </cell>
          <cell r="E33">
            <v>184614</v>
          </cell>
          <cell r="J33">
            <v>87</v>
          </cell>
          <cell r="K33">
            <v>184614</v>
          </cell>
          <cell r="M33">
            <v>3.000000000000004</v>
          </cell>
          <cell r="N33">
            <v>6423.0000000000082</v>
          </cell>
          <cell r="P33">
            <v>0</v>
          </cell>
          <cell r="Q33">
            <v>0</v>
          </cell>
          <cell r="S33">
            <v>12.957446808510642</v>
          </cell>
          <cell r="U33">
            <v>18179.29787234043</v>
          </cell>
          <cell r="W33">
            <v>3.48</v>
          </cell>
          <cell r="X33">
            <v>2321.16</v>
          </cell>
          <cell r="Z33">
            <v>6.9999999999999973</v>
          </cell>
          <cell r="AA33">
            <v>1406.9999999999995</v>
          </cell>
          <cell r="AC33" t="str">
            <v>No</v>
          </cell>
          <cell r="AD33">
            <v>0</v>
          </cell>
          <cell r="AE33">
            <v>0</v>
          </cell>
        </row>
        <row r="34">
          <cell r="A34">
            <v>3901</v>
          </cell>
          <cell r="B34" t="str">
            <v>New Earswick Primary</v>
          </cell>
          <cell r="D34">
            <v>180</v>
          </cell>
          <cell r="E34">
            <v>381960</v>
          </cell>
          <cell r="J34">
            <v>180</v>
          </cell>
          <cell r="K34">
            <v>381960</v>
          </cell>
          <cell r="M34">
            <v>49.273743016759866</v>
          </cell>
          <cell r="N34">
            <v>105495.08379888287</v>
          </cell>
          <cell r="P34">
            <v>1.1042944785276074</v>
          </cell>
          <cell r="Q34">
            <v>416.31901840490798</v>
          </cell>
          <cell r="S34">
            <v>23.99999999999994</v>
          </cell>
          <cell r="U34">
            <v>33671.999999999913</v>
          </cell>
          <cell r="W34">
            <v>0</v>
          </cell>
          <cell r="X34">
            <v>0</v>
          </cell>
          <cell r="Z34">
            <v>13.072625698324032</v>
          </cell>
          <cell r="AA34">
            <v>2627.5977653631303</v>
          </cell>
          <cell r="AC34" t="str">
            <v>No</v>
          </cell>
          <cell r="AD34">
            <v>0</v>
          </cell>
          <cell r="AE34">
            <v>0</v>
          </cell>
        </row>
        <row r="35">
          <cell r="A35">
            <v>2176</v>
          </cell>
          <cell r="B35" t="str">
            <v>Osbaldwick Primary</v>
          </cell>
          <cell r="D35">
            <v>202</v>
          </cell>
          <cell r="E35">
            <v>428644</v>
          </cell>
          <cell r="J35">
            <v>202</v>
          </cell>
          <cell r="K35">
            <v>428644</v>
          </cell>
          <cell r="M35">
            <v>33.999999999999936</v>
          </cell>
          <cell r="N35">
            <v>72793.999999999869</v>
          </cell>
          <cell r="P35">
            <v>0.98536585365853657</v>
          </cell>
          <cell r="Q35">
            <v>371.48292682926831</v>
          </cell>
          <cell r="S35">
            <v>49.581818181818093</v>
          </cell>
          <cell r="U35">
            <v>69563.290909090778</v>
          </cell>
          <cell r="W35">
            <v>8.2209302325581497</v>
          </cell>
          <cell r="X35">
            <v>5483.3604651162859</v>
          </cell>
          <cell r="Z35">
            <v>15.999999999999998</v>
          </cell>
          <cell r="AA35">
            <v>3215.9999999999995</v>
          </cell>
          <cell r="AC35" t="str">
            <v>No</v>
          </cell>
          <cell r="AD35">
            <v>0</v>
          </cell>
          <cell r="AE35">
            <v>0</v>
          </cell>
        </row>
        <row r="36">
          <cell r="A36">
            <v>3904</v>
          </cell>
          <cell r="B36" t="str">
            <v>Our Lady Queen Of Martyrs RC Primary</v>
          </cell>
          <cell r="D36">
            <v>404</v>
          </cell>
          <cell r="E36">
            <v>857288</v>
          </cell>
          <cell r="J36">
            <v>404</v>
          </cell>
          <cell r="K36">
            <v>857288</v>
          </cell>
          <cell r="M36">
            <v>38.189054726368163</v>
          </cell>
          <cell r="N36">
            <v>81762.766169154231</v>
          </cell>
          <cell r="P36">
            <v>0</v>
          </cell>
          <cell r="Q36">
            <v>0</v>
          </cell>
          <cell r="S36">
            <v>37.210526315789458</v>
          </cell>
          <cell r="U36">
            <v>52206.368421052612</v>
          </cell>
          <cell r="W36">
            <v>13.032258064516114</v>
          </cell>
          <cell r="X36">
            <v>8692.5161290322485</v>
          </cell>
          <cell r="Z36">
            <v>10.04975124378111</v>
          </cell>
          <cell r="AA36">
            <v>2020.000000000003</v>
          </cell>
          <cell r="AC36" t="str">
            <v>No</v>
          </cell>
          <cell r="AD36">
            <v>0</v>
          </cell>
          <cell r="AE36">
            <v>0</v>
          </cell>
        </row>
        <row r="37">
          <cell r="A37">
            <v>2012</v>
          </cell>
          <cell r="B37" t="str">
            <v>Park Grove Primary</v>
          </cell>
          <cell r="D37">
            <v>264</v>
          </cell>
          <cell r="E37">
            <v>560208</v>
          </cell>
          <cell r="J37">
            <v>264</v>
          </cell>
          <cell r="K37">
            <v>560208</v>
          </cell>
          <cell r="M37">
            <v>24.275862068965505</v>
          </cell>
          <cell r="N37">
            <v>51974.620689655145</v>
          </cell>
          <cell r="P37">
            <v>0</v>
          </cell>
          <cell r="Q37">
            <v>0</v>
          </cell>
          <cell r="S37">
            <v>84.5625</v>
          </cell>
          <cell r="U37">
            <v>118641.1875</v>
          </cell>
          <cell r="W37">
            <v>15.321428571428577</v>
          </cell>
          <cell r="X37">
            <v>10219.392857142861</v>
          </cell>
          <cell r="Z37">
            <v>20.229885057471279</v>
          </cell>
          <cell r="AA37">
            <v>4066.2068965517269</v>
          </cell>
          <cell r="AC37" t="str">
            <v>No</v>
          </cell>
          <cell r="AD37">
            <v>0</v>
          </cell>
          <cell r="AE37">
            <v>0</v>
          </cell>
        </row>
        <row r="38">
          <cell r="A38">
            <v>2029</v>
          </cell>
          <cell r="B38" t="str">
            <v>Poppleton Ousebank Primary</v>
          </cell>
          <cell r="D38">
            <v>419</v>
          </cell>
          <cell r="E38">
            <v>889118</v>
          </cell>
          <cell r="J38">
            <v>419</v>
          </cell>
          <cell r="K38">
            <v>889118</v>
          </cell>
          <cell r="M38">
            <v>16.000000000000014</v>
          </cell>
          <cell r="N38">
            <v>34256.000000000029</v>
          </cell>
          <cell r="P38">
            <v>3.248062015503876</v>
          </cell>
          <cell r="Q38">
            <v>1224.5193798449613</v>
          </cell>
          <cell r="S38">
            <v>11.02631578947368</v>
          </cell>
          <cell r="U38">
            <v>15469.921052631573</v>
          </cell>
          <cell r="W38">
            <v>7.1420454545454355</v>
          </cell>
          <cell r="X38">
            <v>4763.7443181818053</v>
          </cell>
          <cell r="Z38">
            <v>20</v>
          </cell>
          <cell r="AA38">
            <v>4020</v>
          </cell>
          <cell r="AC38" t="str">
            <v>No</v>
          </cell>
          <cell r="AD38">
            <v>0</v>
          </cell>
          <cell r="AE38">
            <v>0</v>
          </cell>
        </row>
        <row r="39">
          <cell r="A39">
            <v>2014</v>
          </cell>
          <cell r="B39" t="str">
            <v>Poppleton Road Primary</v>
          </cell>
          <cell r="D39">
            <v>384</v>
          </cell>
          <cell r="E39">
            <v>814848</v>
          </cell>
          <cell r="J39">
            <v>384</v>
          </cell>
          <cell r="K39">
            <v>814848</v>
          </cell>
          <cell r="M39">
            <v>48</v>
          </cell>
          <cell r="N39">
            <v>102768</v>
          </cell>
          <cell r="P39">
            <v>3.0720000000000001</v>
          </cell>
          <cell r="Q39">
            <v>1158.144</v>
          </cell>
          <cell r="S39">
            <v>73.386666666666628</v>
          </cell>
          <cell r="U39">
            <v>102961.49333333327</v>
          </cell>
          <cell r="W39">
            <v>1.1815384615384628</v>
          </cell>
          <cell r="X39">
            <v>788.08615384615462</v>
          </cell>
          <cell r="Z39">
            <v>27</v>
          </cell>
          <cell r="AA39">
            <v>5427</v>
          </cell>
          <cell r="AC39" t="str">
            <v>No</v>
          </cell>
          <cell r="AD39">
            <v>0</v>
          </cell>
          <cell r="AE39">
            <v>0</v>
          </cell>
        </row>
        <row r="40">
          <cell r="A40">
            <v>2058</v>
          </cell>
          <cell r="B40" t="str">
            <v>Ralph Butterfield Primary</v>
          </cell>
          <cell r="D40">
            <v>311</v>
          </cell>
          <cell r="E40">
            <v>659942</v>
          </cell>
          <cell r="J40">
            <v>311</v>
          </cell>
          <cell r="K40">
            <v>659942</v>
          </cell>
          <cell r="M40">
            <v>10.032258064516117</v>
          </cell>
          <cell r="N40">
            <v>21479.064516129009</v>
          </cell>
          <cell r="P40">
            <v>1.0366666666666666</v>
          </cell>
          <cell r="Q40">
            <v>390.82333333333332</v>
          </cell>
          <cell r="S40">
            <v>19.3276836158192</v>
          </cell>
          <cell r="U40">
            <v>27116.740112994339</v>
          </cell>
          <cell r="W40">
            <v>3.5340909090909207</v>
          </cell>
          <cell r="X40">
            <v>2357.2386363636442</v>
          </cell>
          <cell r="Z40">
            <v>10.032258064516117</v>
          </cell>
          <cell r="AA40">
            <v>2016.4838709677397</v>
          </cell>
          <cell r="AC40" t="str">
            <v>No</v>
          </cell>
          <cell r="AD40">
            <v>0</v>
          </cell>
          <cell r="AE40">
            <v>0</v>
          </cell>
        </row>
        <row r="41">
          <cell r="A41">
            <v>3212</v>
          </cell>
          <cell r="B41" t="str">
            <v>Robert Wilkinson Primary</v>
          </cell>
          <cell r="D41">
            <v>576</v>
          </cell>
          <cell r="E41">
            <v>1222272</v>
          </cell>
          <cell r="J41">
            <v>576</v>
          </cell>
          <cell r="K41">
            <v>1222272</v>
          </cell>
          <cell r="M41">
            <v>19.999999999999989</v>
          </cell>
          <cell r="N41">
            <v>42819.999999999978</v>
          </cell>
          <cell r="P41">
            <v>4.0492091388400704</v>
          </cell>
          <cell r="Q41">
            <v>1526.5518453427064</v>
          </cell>
          <cell r="S41">
            <v>98.080495356037247</v>
          </cell>
          <cell r="U41">
            <v>137606.93498452025</v>
          </cell>
          <cell r="W41">
            <v>8.2118126272912715</v>
          </cell>
          <cell r="X41">
            <v>5477.2790224032778</v>
          </cell>
          <cell r="Z41">
            <v>55.999999999999986</v>
          </cell>
          <cell r="AA41">
            <v>11255.999999999996</v>
          </cell>
          <cell r="AC41" t="str">
            <v>No</v>
          </cell>
          <cell r="AD41">
            <v>0</v>
          </cell>
          <cell r="AE41">
            <v>0</v>
          </cell>
        </row>
        <row r="42">
          <cell r="A42">
            <v>2349</v>
          </cell>
          <cell r="B42" t="str">
            <v>Rufforth Primary</v>
          </cell>
          <cell r="D42">
            <v>71</v>
          </cell>
          <cell r="E42">
            <v>150662</v>
          </cell>
          <cell r="J42">
            <v>71</v>
          </cell>
          <cell r="K42">
            <v>150662</v>
          </cell>
          <cell r="M42">
            <v>4.0000000000000009</v>
          </cell>
          <cell r="N42">
            <v>8564.0000000000018</v>
          </cell>
          <cell r="P42">
            <v>0</v>
          </cell>
          <cell r="Q42">
            <v>0</v>
          </cell>
          <cell r="S42">
            <v>3.6410256410256423</v>
          </cell>
          <cell r="U42">
            <v>5108.3589743589764</v>
          </cell>
          <cell r="W42">
            <v>0</v>
          </cell>
          <cell r="X42">
            <v>0</v>
          </cell>
          <cell r="Z42">
            <v>1.9999999999999971</v>
          </cell>
          <cell r="AA42">
            <v>401.99999999999943</v>
          </cell>
          <cell r="AC42" t="str">
            <v>No</v>
          </cell>
          <cell r="AD42">
            <v>0</v>
          </cell>
          <cell r="AE42">
            <v>0</v>
          </cell>
        </row>
        <row r="43">
          <cell r="A43">
            <v>2016</v>
          </cell>
          <cell r="B43" t="str">
            <v>Scarcroft Primary</v>
          </cell>
          <cell r="D43">
            <v>323</v>
          </cell>
          <cell r="E43">
            <v>685406</v>
          </cell>
          <cell r="J43">
            <v>323</v>
          </cell>
          <cell r="K43">
            <v>685406</v>
          </cell>
          <cell r="M43">
            <v>37.999999999999865</v>
          </cell>
          <cell r="N43">
            <v>81357.999999999709</v>
          </cell>
          <cell r="P43">
            <v>0</v>
          </cell>
          <cell r="Q43">
            <v>0</v>
          </cell>
          <cell r="S43">
            <v>65.636363636363754</v>
          </cell>
          <cell r="U43">
            <v>92087.818181818351</v>
          </cell>
          <cell r="W43">
            <v>10.494584837545135</v>
          </cell>
          <cell r="X43">
            <v>6999.8880866426052</v>
          </cell>
          <cell r="Z43">
            <v>23.000000000000011</v>
          </cell>
          <cell r="AA43">
            <v>4623.0000000000018</v>
          </cell>
          <cell r="AC43" t="str">
            <v>No</v>
          </cell>
          <cell r="AD43">
            <v>0</v>
          </cell>
          <cell r="AE43">
            <v>0</v>
          </cell>
        </row>
        <row r="44">
          <cell r="A44">
            <v>2169</v>
          </cell>
          <cell r="B44" t="str">
            <v>Skelton Primary</v>
          </cell>
          <cell r="D44">
            <v>103</v>
          </cell>
          <cell r="E44">
            <v>218566</v>
          </cell>
          <cell r="J44">
            <v>103</v>
          </cell>
          <cell r="K44">
            <v>218566</v>
          </cell>
          <cell r="M44">
            <v>16.000000000000028</v>
          </cell>
          <cell r="N44">
            <v>34256.000000000058</v>
          </cell>
          <cell r="P44">
            <v>0</v>
          </cell>
          <cell r="Q44">
            <v>0</v>
          </cell>
          <cell r="S44">
            <v>14.714285714285728</v>
          </cell>
          <cell r="U44">
            <v>20644.142857142877</v>
          </cell>
          <cell r="W44">
            <v>0</v>
          </cell>
          <cell r="X44">
            <v>0</v>
          </cell>
          <cell r="Z44">
            <v>11.999999999999996</v>
          </cell>
          <cell r="AA44">
            <v>2411.9999999999991</v>
          </cell>
          <cell r="AC44" t="str">
            <v>No</v>
          </cell>
          <cell r="AD44">
            <v>0</v>
          </cell>
          <cell r="AE44">
            <v>0</v>
          </cell>
        </row>
        <row r="45">
          <cell r="A45">
            <v>3401</v>
          </cell>
          <cell r="B45" t="str">
            <v>St. Aelred's RC Primary</v>
          </cell>
          <cell r="D45">
            <v>189</v>
          </cell>
          <cell r="E45">
            <v>401058</v>
          </cell>
          <cell r="J45">
            <v>189</v>
          </cell>
          <cell r="K45">
            <v>401058</v>
          </cell>
          <cell r="M45">
            <v>40.000000000000064</v>
          </cell>
          <cell r="N45">
            <v>85640.000000000131</v>
          </cell>
          <cell r="P45">
            <v>0</v>
          </cell>
          <cell r="Q45">
            <v>0</v>
          </cell>
          <cell r="S45">
            <v>34.864077669902969</v>
          </cell>
          <cell r="U45">
            <v>48914.300970873868</v>
          </cell>
          <cell r="W45">
            <v>1.188679245283019</v>
          </cell>
          <cell r="X45">
            <v>792.84905660377376</v>
          </cell>
          <cell r="Z45">
            <v>7.9999999999999947</v>
          </cell>
          <cell r="AA45">
            <v>1607.9999999999989</v>
          </cell>
          <cell r="AC45" t="str">
            <v>No</v>
          </cell>
          <cell r="AD45">
            <v>0</v>
          </cell>
          <cell r="AE45">
            <v>0</v>
          </cell>
        </row>
        <row r="46">
          <cell r="A46">
            <v>3002</v>
          </cell>
          <cell r="B46" t="str">
            <v>St. Barnabas' CE Primary</v>
          </cell>
          <cell r="D46">
            <v>146</v>
          </cell>
          <cell r="E46">
            <v>309812</v>
          </cell>
          <cell r="J46">
            <v>146</v>
          </cell>
          <cell r="K46">
            <v>309812</v>
          </cell>
          <cell r="M46">
            <v>23.158620689655113</v>
          </cell>
          <cell r="N46">
            <v>49582.606896551595</v>
          </cell>
          <cell r="P46">
            <v>0</v>
          </cell>
          <cell r="Q46">
            <v>0</v>
          </cell>
          <cell r="S46">
            <v>41.477272727272712</v>
          </cell>
          <cell r="U46">
            <v>58192.613636363618</v>
          </cell>
          <cell r="W46">
            <v>11.7741935483871</v>
          </cell>
          <cell r="X46">
            <v>7853.387096774195</v>
          </cell>
          <cell r="Z46">
            <v>12.08275862068966</v>
          </cell>
          <cell r="AA46">
            <v>2428.6344827586217</v>
          </cell>
          <cell r="AC46" t="str">
            <v>No</v>
          </cell>
          <cell r="AD46">
            <v>0</v>
          </cell>
          <cell r="AE46">
            <v>0</v>
          </cell>
          <cell r="AG46">
            <v>146</v>
          </cell>
          <cell r="AH46">
            <v>22776</v>
          </cell>
          <cell r="AI46">
            <v>19862</v>
          </cell>
          <cell r="AJ46">
            <v>42638</v>
          </cell>
          <cell r="AK46">
            <v>168805</v>
          </cell>
          <cell r="AL46">
            <v>126167</v>
          </cell>
        </row>
        <row r="47">
          <cell r="A47">
            <v>3402</v>
          </cell>
          <cell r="B47" t="str">
            <v>St. George's RC Primary</v>
          </cell>
          <cell r="D47">
            <v>178</v>
          </cell>
          <cell r="E47">
            <v>377716</v>
          </cell>
          <cell r="J47">
            <v>178</v>
          </cell>
          <cell r="K47">
            <v>377716</v>
          </cell>
          <cell r="M47">
            <v>30.340909090909008</v>
          </cell>
          <cell r="N47">
            <v>64959.886363636186</v>
          </cell>
          <cell r="P47">
            <v>2.0227272727272729</v>
          </cell>
          <cell r="Q47">
            <v>762.56818181818187</v>
          </cell>
          <cell r="S47">
            <v>49.234042553191479</v>
          </cell>
          <cell r="U47">
            <v>69075.361702127644</v>
          </cell>
          <cell r="W47">
            <v>35.831168831168782</v>
          </cell>
          <cell r="X47">
            <v>23899.389610389579</v>
          </cell>
          <cell r="Z47">
            <v>36.409090909090992</v>
          </cell>
          <cell r="AA47">
            <v>7318.2272727272893</v>
          </cell>
          <cell r="AC47" t="str">
            <v>No</v>
          </cell>
          <cell r="AD47">
            <v>0</v>
          </cell>
          <cell r="AE47">
            <v>0</v>
          </cell>
        </row>
        <row r="48">
          <cell r="A48">
            <v>3305</v>
          </cell>
          <cell r="B48" t="str">
            <v>St. Lawrence's CE Primary</v>
          </cell>
          <cell r="D48">
            <v>188</v>
          </cell>
          <cell r="E48">
            <v>398936</v>
          </cell>
          <cell r="J48">
            <v>188</v>
          </cell>
          <cell r="K48">
            <v>398936</v>
          </cell>
          <cell r="M48">
            <v>50.000000000000071</v>
          </cell>
          <cell r="N48">
            <v>107050.00000000015</v>
          </cell>
          <cell r="P48">
            <v>0</v>
          </cell>
          <cell r="Q48">
            <v>0</v>
          </cell>
          <cell r="S48">
            <v>55.504761904761864</v>
          </cell>
          <cell r="U48">
            <v>77873.180952380892</v>
          </cell>
          <cell r="W48">
            <v>26.177215189873433</v>
          </cell>
          <cell r="X48">
            <v>17460.20253164558</v>
          </cell>
          <cell r="Z48">
            <v>16</v>
          </cell>
          <cell r="AA48">
            <v>3216</v>
          </cell>
          <cell r="AC48" t="str">
            <v>No</v>
          </cell>
          <cell r="AD48">
            <v>0</v>
          </cell>
          <cell r="AE48">
            <v>0</v>
          </cell>
        </row>
        <row r="49">
          <cell r="A49">
            <v>3222</v>
          </cell>
          <cell r="B49" t="str">
            <v>St. Mary's CE Primary</v>
          </cell>
          <cell r="D49">
            <v>106</v>
          </cell>
          <cell r="E49">
            <v>224932</v>
          </cell>
          <cell r="J49">
            <v>106</v>
          </cell>
          <cell r="K49">
            <v>224932</v>
          </cell>
          <cell r="M49">
            <v>2.9999999999999969</v>
          </cell>
          <cell r="N49">
            <v>6422.9999999999936</v>
          </cell>
          <cell r="P49">
            <v>0</v>
          </cell>
          <cell r="Q49">
            <v>0</v>
          </cell>
          <cell r="S49">
            <v>14.372881355932197</v>
          </cell>
          <cell r="U49">
            <v>20165.152542372871</v>
          </cell>
          <cell r="W49">
            <v>0</v>
          </cell>
          <cell r="X49">
            <v>0</v>
          </cell>
          <cell r="Z49">
            <v>0.99999999999999956</v>
          </cell>
          <cell r="AA49">
            <v>200.99999999999991</v>
          </cell>
          <cell r="AC49" t="str">
            <v>No</v>
          </cell>
          <cell r="AD49">
            <v>0</v>
          </cell>
          <cell r="AE49">
            <v>0</v>
          </cell>
        </row>
        <row r="50">
          <cell r="A50">
            <v>3156</v>
          </cell>
          <cell r="B50" t="str">
            <v>St. Oswald's CE Primary</v>
          </cell>
          <cell r="D50">
            <v>281</v>
          </cell>
          <cell r="E50">
            <v>596282</v>
          </cell>
          <cell r="J50">
            <v>281</v>
          </cell>
          <cell r="K50">
            <v>596282</v>
          </cell>
          <cell r="M50">
            <v>16.415807560137459</v>
          </cell>
          <cell r="N50">
            <v>35146.243986254303</v>
          </cell>
          <cell r="P50">
            <v>0</v>
          </cell>
          <cell r="Q50">
            <v>0</v>
          </cell>
          <cell r="S50">
            <v>48.384105960264861</v>
          </cell>
          <cell r="U50">
            <v>67882.900662251603</v>
          </cell>
          <cell r="W50">
            <v>23.794354838709676</v>
          </cell>
          <cell r="X50">
            <v>15870.834677419354</v>
          </cell>
          <cell r="Z50">
            <v>20.278350515463902</v>
          </cell>
          <cell r="AA50">
            <v>4075.9484536082446</v>
          </cell>
          <cell r="AC50" t="str">
            <v>No</v>
          </cell>
          <cell r="AD50">
            <v>0</v>
          </cell>
          <cell r="AE50">
            <v>0</v>
          </cell>
          <cell r="AG50">
            <v>281</v>
          </cell>
          <cell r="AH50">
            <v>43836</v>
          </cell>
          <cell r="AI50">
            <v>19862</v>
          </cell>
          <cell r="AJ50">
            <v>63698</v>
          </cell>
          <cell r="AK50">
            <v>254547</v>
          </cell>
          <cell r="AL50">
            <v>190849</v>
          </cell>
        </row>
        <row r="51">
          <cell r="A51">
            <v>3003</v>
          </cell>
          <cell r="B51" t="str">
            <v>St. Paul's CE Primary</v>
          </cell>
          <cell r="D51">
            <v>166</v>
          </cell>
          <cell r="E51">
            <v>352252</v>
          </cell>
          <cell r="J51">
            <v>166</v>
          </cell>
          <cell r="K51">
            <v>352252</v>
          </cell>
          <cell r="M51">
            <v>4.9999999999999929</v>
          </cell>
          <cell r="N51">
            <v>10704.999999999985</v>
          </cell>
          <cell r="P51">
            <v>0</v>
          </cell>
          <cell r="Q51">
            <v>0</v>
          </cell>
          <cell r="S51">
            <v>9.1208791208791133</v>
          </cell>
          <cell r="U51">
            <v>12796.593406593396</v>
          </cell>
          <cell r="W51">
            <v>2.3546099290780198</v>
          </cell>
          <cell r="X51">
            <v>1570.5248226950391</v>
          </cell>
          <cell r="Z51">
            <v>5.9999999999999973</v>
          </cell>
          <cell r="AA51">
            <v>1205.9999999999995</v>
          </cell>
          <cell r="AC51" t="str">
            <v>No</v>
          </cell>
          <cell r="AD51">
            <v>0</v>
          </cell>
          <cell r="AE51">
            <v>0</v>
          </cell>
        </row>
        <row r="52">
          <cell r="A52">
            <v>3403</v>
          </cell>
          <cell r="B52" t="str">
            <v>St. Wilfrid's RC Primary</v>
          </cell>
          <cell r="D52">
            <v>263</v>
          </cell>
          <cell r="E52">
            <v>558086</v>
          </cell>
          <cell r="J52">
            <v>263</v>
          </cell>
          <cell r="K52">
            <v>558086</v>
          </cell>
          <cell r="M52">
            <v>22.999999999999993</v>
          </cell>
          <cell r="N52">
            <v>49242.999999999985</v>
          </cell>
          <cell r="P52">
            <v>1.0038167938931297</v>
          </cell>
          <cell r="Q52">
            <v>378.43893129770993</v>
          </cell>
          <cell r="S52">
            <v>53.99337748344368</v>
          </cell>
          <cell r="U52">
            <v>75752.708609271489</v>
          </cell>
          <cell r="W52">
            <v>23.377777777777784</v>
          </cell>
          <cell r="X52">
            <v>15592.977777777782</v>
          </cell>
          <cell r="Z52">
            <v>8.9999999999999911</v>
          </cell>
          <cell r="AA52">
            <v>1808.9999999999982</v>
          </cell>
          <cell r="AC52" t="str">
            <v>No</v>
          </cell>
          <cell r="AD52">
            <v>0</v>
          </cell>
          <cell r="AE52">
            <v>0</v>
          </cell>
        </row>
        <row r="53">
          <cell r="A53">
            <v>2227</v>
          </cell>
          <cell r="B53" t="str">
            <v>Stockton on the Forest Primary</v>
          </cell>
          <cell r="D53">
            <v>70</v>
          </cell>
          <cell r="E53">
            <v>148540</v>
          </cell>
          <cell r="J53">
            <v>70</v>
          </cell>
          <cell r="K53">
            <v>148540</v>
          </cell>
          <cell r="M53">
            <v>3.9999999999999969</v>
          </cell>
          <cell r="N53">
            <v>8563.9999999999927</v>
          </cell>
          <cell r="P53">
            <v>2.1875</v>
          </cell>
          <cell r="Q53">
            <v>824.6875</v>
          </cell>
          <cell r="S53">
            <v>17.906976744186039</v>
          </cell>
          <cell r="U53">
            <v>25123.488372093012</v>
          </cell>
          <cell r="W53">
            <v>0</v>
          </cell>
          <cell r="X53">
            <v>0</v>
          </cell>
          <cell r="Z53">
            <v>5.9999999999999991</v>
          </cell>
          <cell r="AA53">
            <v>1205.9999999999998</v>
          </cell>
          <cell r="AC53" t="str">
            <v>No</v>
          </cell>
          <cell r="AD53">
            <v>0</v>
          </cell>
          <cell r="AE53">
            <v>0</v>
          </cell>
        </row>
        <row r="54">
          <cell r="A54">
            <v>2429</v>
          </cell>
          <cell r="B54" t="str">
            <v>Tang Hall Primary</v>
          </cell>
          <cell r="D54">
            <v>138</v>
          </cell>
          <cell r="E54">
            <v>292836</v>
          </cell>
          <cell r="J54">
            <v>138</v>
          </cell>
          <cell r="K54">
            <v>292836</v>
          </cell>
          <cell r="M54">
            <v>59</v>
          </cell>
          <cell r="N54">
            <v>126319</v>
          </cell>
          <cell r="P54">
            <v>3.2857142857142856</v>
          </cell>
          <cell r="Q54">
            <v>1238.7142857142858</v>
          </cell>
          <cell r="S54">
            <v>42.000000000000064</v>
          </cell>
          <cell r="U54">
            <v>58926.000000000087</v>
          </cell>
          <cell r="W54">
            <v>7.4594594594594659</v>
          </cell>
          <cell r="X54">
            <v>4975.4594594594637</v>
          </cell>
          <cell r="Z54">
            <v>16.999999999999936</v>
          </cell>
          <cell r="AA54">
            <v>3416.9999999999873</v>
          </cell>
          <cell r="AC54" t="str">
            <v>No</v>
          </cell>
          <cell r="AD54">
            <v>0</v>
          </cell>
          <cell r="AE54">
            <v>0</v>
          </cell>
        </row>
        <row r="55">
          <cell r="A55">
            <v>2017</v>
          </cell>
          <cell r="B55" t="str">
            <v>Westfield Primary</v>
          </cell>
          <cell r="D55">
            <v>491</v>
          </cell>
          <cell r="E55">
            <v>1041902</v>
          </cell>
          <cell r="J55">
            <v>491</v>
          </cell>
          <cell r="K55">
            <v>1041902</v>
          </cell>
          <cell r="M55">
            <v>124.00000000000026</v>
          </cell>
          <cell r="N55">
            <v>265484.00000000052</v>
          </cell>
          <cell r="P55">
            <v>0.97808764940239046</v>
          </cell>
          <cell r="Q55">
            <v>368.73904382470118</v>
          </cell>
          <cell r="S55">
            <v>230.57094594594616</v>
          </cell>
          <cell r="U55">
            <v>323491.03716216248</v>
          </cell>
          <cell r="W55">
            <v>3.5071428571428558</v>
          </cell>
          <cell r="X55">
            <v>2339.2642857142846</v>
          </cell>
          <cell r="Z55">
            <v>27</v>
          </cell>
          <cell r="AA55">
            <v>5427</v>
          </cell>
          <cell r="AC55" t="str">
            <v>No</v>
          </cell>
          <cell r="AD55">
            <v>0</v>
          </cell>
          <cell r="AE55">
            <v>0</v>
          </cell>
        </row>
        <row r="56">
          <cell r="A56">
            <v>3380</v>
          </cell>
          <cell r="B56" t="str">
            <v>Wheldrake CE Primary</v>
          </cell>
          <cell r="D56">
            <v>216</v>
          </cell>
          <cell r="E56">
            <v>458352</v>
          </cell>
          <cell r="J56">
            <v>216</v>
          </cell>
          <cell r="K56">
            <v>458352</v>
          </cell>
          <cell r="M56">
            <v>6.9999999999999982</v>
          </cell>
          <cell r="N56">
            <v>14986.999999999996</v>
          </cell>
          <cell r="P56">
            <v>0</v>
          </cell>
          <cell r="Q56">
            <v>0</v>
          </cell>
          <cell r="S56">
            <v>12.495867768595044</v>
          </cell>
          <cell r="U56">
            <v>17531.702479338848</v>
          </cell>
          <cell r="W56">
            <v>2.3606557377049224</v>
          </cell>
          <cell r="X56">
            <v>1574.5573770491833</v>
          </cell>
          <cell r="Z56">
            <v>17</v>
          </cell>
          <cell r="AA56">
            <v>3417</v>
          </cell>
          <cell r="AC56" t="str">
            <v>No</v>
          </cell>
          <cell r="AD56">
            <v>0</v>
          </cell>
          <cell r="AE56">
            <v>0</v>
          </cell>
        </row>
        <row r="57">
          <cell r="A57">
            <v>2240</v>
          </cell>
          <cell r="B57" t="str">
            <v>Wigginton Primary</v>
          </cell>
          <cell r="D57">
            <v>275</v>
          </cell>
          <cell r="E57">
            <v>583550</v>
          </cell>
          <cell r="J57">
            <v>275</v>
          </cell>
          <cell r="K57">
            <v>583550</v>
          </cell>
          <cell r="M57">
            <v>5.9999999999999947</v>
          </cell>
          <cell r="N57">
            <v>12845.999999999989</v>
          </cell>
          <cell r="P57">
            <v>0</v>
          </cell>
          <cell r="Q57">
            <v>0</v>
          </cell>
          <cell r="S57">
            <v>34.580838323353298</v>
          </cell>
          <cell r="U57">
            <v>48516.916167664676</v>
          </cell>
          <cell r="W57">
            <v>0</v>
          </cell>
          <cell r="X57">
            <v>0</v>
          </cell>
          <cell r="Z57">
            <v>19.999999999999993</v>
          </cell>
          <cell r="AA57">
            <v>4019.9999999999986</v>
          </cell>
          <cell r="AC57" t="str">
            <v>No</v>
          </cell>
          <cell r="AD57">
            <v>0</v>
          </cell>
          <cell r="AE57">
            <v>0</v>
          </cell>
        </row>
        <row r="58">
          <cell r="A58">
            <v>2027</v>
          </cell>
          <cell r="B58" t="str">
            <v>Woodthorpe Primary</v>
          </cell>
          <cell r="D58">
            <v>357</v>
          </cell>
          <cell r="E58">
            <v>757554</v>
          </cell>
          <cell r="J58">
            <v>357</v>
          </cell>
          <cell r="K58">
            <v>757554</v>
          </cell>
          <cell r="M58">
            <v>69.193820224719047</v>
          </cell>
          <cell r="N58">
            <v>148143.96910112348</v>
          </cell>
          <cell r="P58">
            <v>4.9445983379501381</v>
          </cell>
          <cell r="Q58">
            <v>1864.113573407202</v>
          </cell>
          <cell r="S58">
            <v>78.149253731343308</v>
          </cell>
          <cell r="U58">
            <v>109643.40298507466</v>
          </cell>
          <cell r="W58">
            <v>4.8571428571428399</v>
          </cell>
          <cell r="X58">
            <v>3239.7142857142744</v>
          </cell>
          <cell r="Z58">
            <v>23.06460674157303</v>
          </cell>
          <cell r="AA58">
            <v>4635.9859550561787</v>
          </cell>
          <cell r="AC58" t="str">
            <v>No</v>
          </cell>
          <cell r="AD58">
            <v>0</v>
          </cell>
          <cell r="AE58">
            <v>0</v>
          </cell>
        </row>
        <row r="59">
          <cell r="A59">
            <v>2015</v>
          </cell>
          <cell r="B59" t="str">
            <v>Yearsley Grove Primary</v>
          </cell>
          <cell r="D59">
            <v>287</v>
          </cell>
          <cell r="E59">
            <v>609014</v>
          </cell>
          <cell r="J59">
            <v>287</v>
          </cell>
          <cell r="K59">
            <v>609014</v>
          </cell>
          <cell r="M59">
            <v>65.999999999999972</v>
          </cell>
          <cell r="N59">
            <v>141305.99999999994</v>
          </cell>
          <cell r="P59">
            <v>3.1083032490974727</v>
          </cell>
          <cell r="Q59">
            <v>1171.8303249097471</v>
          </cell>
          <cell r="S59">
            <v>53.207865168539243</v>
          </cell>
          <cell r="U59">
            <v>74650.634831460557</v>
          </cell>
          <cell r="W59">
            <v>7.1452282157676423</v>
          </cell>
          <cell r="X59">
            <v>4765.8672199170178</v>
          </cell>
          <cell r="Z59">
            <v>12.000000000000009</v>
          </cell>
          <cell r="AA59">
            <v>2412.0000000000018</v>
          </cell>
          <cell r="AC59" t="str">
            <v>No</v>
          </cell>
          <cell r="AD59">
            <v>0</v>
          </cell>
          <cell r="AE59">
            <v>0</v>
          </cell>
        </row>
        <row r="61">
          <cell r="B61" t="str">
            <v>Primary Schools Total</v>
          </cell>
          <cell r="D61">
            <v>12808</v>
          </cell>
          <cell r="E61">
            <v>27178576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12808</v>
          </cell>
          <cell r="K61">
            <v>27178576</v>
          </cell>
          <cell r="M61">
            <v>1536.986967483135</v>
          </cell>
          <cell r="N61">
            <v>3290689.097381392</v>
          </cell>
          <cell r="P61">
            <v>58.854359228025594</v>
          </cell>
          <cell r="Q61">
            <v>22188.093428965651</v>
          </cell>
          <cell r="S61">
            <v>2324.4746209474674</v>
          </cell>
          <cell r="T61">
            <v>0</v>
          </cell>
          <cell r="U61">
            <v>3261237.8931892961</v>
          </cell>
          <cell r="W61">
            <v>478.54892866727704</v>
          </cell>
          <cell r="X61">
            <v>319192.13542107365</v>
          </cell>
          <cell r="Z61">
            <v>859.60186106660274</v>
          </cell>
          <cell r="AA61">
            <v>172779.9740743872</v>
          </cell>
          <cell r="AC61">
            <v>0</v>
          </cell>
          <cell r="AD61">
            <v>0</v>
          </cell>
          <cell r="AE61">
            <v>0</v>
          </cell>
          <cell r="AG61">
            <v>696</v>
          </cell>
          <cell r="AK61">
            <v>605363</v>
          </cell>
          <cell r="AL61">
            <v>437201</v>
          </cell>
        </row>
        <row r="62">
          <cell r="B62" t="str">
            <v>SECONDARY SCHOOLS</v>
          </cell>
          <cell r="G62">
            <v>3536</v>
          </cell>
          <cell r="I62">
            <v>4186</v>
          </cell>
          <cell r="N62">
            <v>2175</v>
          </cell>
          <cell r="Q62">
            <v>377</v>
          </cell>
          <cell r="U62">
            <v>3595</v>
          </cell>
          <cell r="X62">
            <v>1787</v>
          </cell>
          <cell r="AA62">
            <v>209</v>
          </cell>
          <cell r="AE62">
            <v>198</v>
          </cell>
          <cell r="AH62">
            <v>416</v>
          </cell>
          <cell r="AI62">
            <v>0</v>
          </cell>
        </row>
        <row r="63">
          <cell r="A63">
            <v>4702</v>
          </cell>
          <cell r="B63" t="str">
            <v>All Saints’ RC School</v>
          </cell>
          <cell r="F63">
            <v>508</v>
          </cell>
          <cell r="G63">
            <v>1796288</v>
          </cell>
          <cell r="H63">
            <v>371</v>
          </cell>
          <cell r="I63">
            <v>1553006</v>
          </cell>
          <cell r="J63">
            <v>879</v>
          </cell>
          <cell r="K63">
            <v>3349294</v>
          </cell>
          <cell r="M63">
            <v>53.000000000000007</v>
          </cell>
          <cell r="N63">
            <v>115275.00000000001</v>
          </cell>
          <cell r="P63">
            <v>1.9511653718091011</v>
          </cell>
          <cell r="Q63">
            <v>735.58934517203113</v>
          </cell>
          <cell r="T63">
            <v>51.390986601705244</v>
          </cell>
          <cell r="U63">
            <v>184750.59683313034</v>
          </cell>
          <cell r="W63">
            <v>15.42105263157894</v>
          </cell>
          <cell r="X63">
            <v>27557.421052631566</v>
          </cell>
          <cell r="Z63">
            <v>17.999999999999996</v>
          </cell>
          <cell r="AA63">
            <v>3761.9999999999991</v>
          </cell>
          <cell r="AC63" t="str">
            <v>Yes</v>
          </cell>
          <cell r="AD63">
            <v>879</v>
          </cell>
          <cell r="AE63">
            <v>174042</v>
          </cell>
        </row>
        <row r="64">
          <cell r="A64">
            <v>4500</v>
          </cell>
          <cell r="B64" t="str">
            <v>Archbishop Holgate's CE School</v>
          </cell>
          <cell r="F64">
            <v>522</v>
          </cell>
          <cell r="G64">
            <v>1845792</v>
          </cell>
          <cell r="H64">
            <v>314</v>
          </cell>
          <cell r="I64">
            <v>1314404</v>
          </cell>
          <cell r="J64">
            <v>836</v>
          </cell>
          <cell r="K64">
            <v>3160196</v>
          </cell>
          <cell r="M64">
            <v>79</v>
          </cell>
          <cell r="N64">
            <v>171825</v>
          </cell>
          <cell r="P64">
            <v>7.3058676654182273</v>
          </cell>
          <cell r="Q64">
            <v>2754.3121098626716</v>
          </cell>
          <cell r="T64">
            <v>70.102628285356673</v>
          </cell>
          <cell r="U64">
            <v>252018.94868585723</v>
          </cell>
          <cell r="W64">
            <v>6.0000000000000027</v>
          </cell>
          <cell r="X64">
            <v>10722.000000000005</v>
          </cell>
          <cell r="Z64">
            <v>25.000000000000007</v>
          </cell>
          <cell r="AA64">
            <v>5225.0000000000018</v>
          </cell>
          <cell r="AC64" t="str">
            <v>No</v>
          </cell>
          <cell r="AD64">
            <v>0</v>
          </cell>
          <cell r="AE64">
            <v>0</v>
          </cell>
        </row>
        <row r="65">
          <cell r="A65">
            <v>4227</v>
          </cell>
          <cell r="B65" t="str">
            <v>Burnholme Community College</v>
          </cell>
          <cell r="F65">
            <v>91</v>
          </cell>
          <cell r="G65">
            <v>321776</v>
          </cell>
          <cell r="H65">
            <v>96</v>
          </cell>
          <cell r="I65">
            <v>401856</v>
          </cell>
          <cell r="J65">
            <v>187</v>
          </cell>
          <cell r="K65">
            <v>723632</v>
          </cell>
          <cell r="M65">
            <v>51.999999999999915</v>
          </cell>
          <cell r="N65">
            <v>113099.99999999981</v>
          </cell>
          <cell r="P65">
            <v>1.312280701754386</v>
          </cell>
          <cell r="Q65">
            <v>494.72982456140352</v>
          </cell>
          <cell r="T65">
            <v>44.523809523809504</v>
          </cell>
          <cell r="U65">
            <v>160063.09523809518</v>
          </cell>
          <cell r="W65">
            <v>3.9999999999999996</v>
          </cell>
          <cell r="X65">
            <v>7147.9999999999991</v>
          </cell>
          <cell r="Z65">
            <v>15.999999999999998</v>
          </cell>
          <cell r="AA65">
            <v>3343.9999999999995</v>
          </cell>
          <cell r="AC65" t="str">
            <v>No</v>
          </cell>
          <cell r="AD65">
            <v>0</v>
          </cell>
          <cell r="AE65">
            <v>0</v>
          </cell>
        </row>
        <row r="66">
          <cell r="A66">
            <v>4003</v>
          </cell>
          <cell r="B66" t="str">
            <v>Canon Lee School</v>
          </cell>
          <cell r="F66">
            <v>385</v>
          </cell>
          <cell r="G66">
            <v>1361360</v>
          </cell>
          <cell r="H66">
            <v>325</v>
          </cell>
          <cell r="I66">
            <v>1360450</v>
          </cell>
          <cell r="J66">
            <v>710</v>
          </cell>
          <cell r="K66">
            <v>2721810</v>
          </cell>
          <cell r="M66">
            <v>96.999999999999886</v>
          </cell>
          <cell r="N66">
            <v>210974.99999999977</v>
          </cell>
          <cell r="P66">
            <v>2.9218106995884776</v>
          </cell>
          <cell r="Q66">
            <v>1101.522633744856</v>
          </cell>
          <cell r="T66">
            <v>90.946142649199246</v>
          </cell>
          <cell r="U66">
            <v>326951.38282387127</v>
          </cell>
          <cell r="W66">
            <v>8.0339462517680236</v>
          </cell>
          <cell r="X66">
            <v>14356.661951909458</v>
          </cell>
          <cell r="Z66">
            <v>30.000000000000025</v>
          </cell>
          <cell r="AA66">
            <v>6270.0000000000055</v>
          </cell>
          <cell r="AC66" t="str">
            <v>No</v>
          </cell>
          <cell r="AD66">
            <v>0</v>
          </cell>
          <cell r="AE66">
            <v>0</v>
          </cell>
        </row>
        <row r="67">
          <cell r="A67">
            <v>4153</v>
          </cell>
          <cell r="B67" t="str">
            <v>Fulford School</v>
          </cell>
          <cell r="F67">
            <v>621</v>
          </cell>
          <cell r="G67">
            <v>2195856</v>
          </cell>
          <cell r="H67">
            <v>400</v>
          </cell>
          <cell r="I67">
            <v>1674400</v>
          </cell>
          <cell r="J67">
            <v>1021</v>
          </cell>
          <cell r="K67">
            <v>3870256</v>
          </cell>
          <cell r="M67">
            <v>32.679922405431597</v>
          </cell>
          <cell r="N67">
            <v>71078.831231813718</v>
          </cell>
          <cell r="P67">
            <v>1.9729468599033817</v>
          </cell>
          <cell r="Q67">
            <v>743.80096618357493</v>
          </cell>
          <cell r="T67">
            <v>52.123123123123172</v>
          </cell>
          <cell r="U67">
            <v>187382.62762762781</v>
          </cell>
          <cell r="W67">
            <v>8.9213592233009678</v>
          </cell>
          <cell r="X67">
            <v>15942.46893203883</v>
          </cell>
          <cell r="Z67">
            <v>28.718719689621775</v>
          </cell>
          <cell r="AA67">
            <v>6002.2124151309508</v>
          </cell>
          <cell r="AC67" t="str">
            <v>No</v>
          </cell>
          <cell r="AD67">
            <v>0</v>
          </cell>
          <cell r="AE67">
            <v>0</v>
          </cell>
        </row>
        <row r="68">
          <cell r="A68">
            <v>4063</v>
          </cell>
          <cell r="B68" t="str">
            <v>Huntington School</v>
          </cell>
          <cell r="F68">
            <v>676</v>
          </cell>
          <cell r="G68">
            <v>2390336</v>
          </cell>
          <cell r="H68">
            <v>468</v>
          </cell>
          <cell r="I68">
            <v>1959048</v>
          </cell>
          <cell r="J68">
            <v>1144</v>
          </cell>
          <cell r="K68">
            <v>4349384</v>
          </cell>
          <cell r="M68">
            <v>91.999999999999986</v>
          </cell>
          <cell r="N68">
            <v>200099.99999999997</v>
          </cell>
          <cell r="P68">
            <v>2.9895470383275264</v>
          </cell>
          <cell r="Q68">
            <v>1127.0592334494775</v>
          </cell>
          <cell r="T68">
            <v>101.10278578290108</v>
          </cell>
          <cell r="U68">
            <v>363464.51488952938</v>
          </cell>
          <cell r="W68">
            <v>2.9999999999999973</v>
          </cell>
          <cell r="X68">
            <v>5360.9999999999955</v>
          </cell>
          <cell r="Z68">
            <v>43.000000000000014</v>
          </cell>
          <cell r="AA68">
            <v>8987.0000000000036</v>
          </cell>
          <cell r="AC68" t="str">
            <v>No</v>
          </cell>
          <cell r="AD68">
            <v>0</v>
          </cell>
          <cell r="AE68">
            <v>0</v>
          </cell>
        </row>
        <row r="69">
          <cell r="A69">
            <v>4508</v>
          </cell>
          <cell r="B69" t="str">
            <v>Joseph Rowntree School</v>
          </cell>
          <cell r="F69">
            <v>565</v>
          </cell>
          <cell r="G69">
            <v>1997840</v>
          </cell>
          <cell r="H69">
            <v>405</v>
          </cell>
          <cell r="I69">
            <v>1695330</v>
          </cell>
          <cell r="J69">
            <v>970</v>
          </cell>
          <cell r="K69">
            <v>3693170</v>
          </cell>
          <cell r="M69">
            <v>85.122448979591809</v>
          </cell>
          <cell r="N69">
            <v>185141.32653061219</v>
          </cell>
          <cell r="P69">
            <v>7.9022403258655798</v>
          </cell>
          <cell r="Q69">
            <v>2979.1446028513237</v>
          </cell>
          <cell r="T69">
            <v>101.58783783783811</v>
          </cell>
          <cell r="U69">
            <v>365208.27702702797</v>
          </cell>
          <cell r="W69">
            <v>13.85714285714287</v>
          </cell>
          <cell r="X69">
            <v>24762.714285714308</v>
          </cell>
          <cell r="Z69">
            <v>52.459183673469362</v>
          </cell>
          <cell r="AA69">
            <v>10963.969387755096</v>
          </cell>
          <cell r="AC69" t="str">
            <v>No</v>
          </cell>
          <cell r="AD69">
            <v>0</v>
          </cell>
          <cell r="AE69">
            <v>0</v>
          </cell>
        </row>
        <row r="70">
          <cell r="A70">
            <v>4602</v>
          </cell>
          <cell r="B70" t="str">
            <v>Manor CE School</v>
          </cell>
          <cell r="F70">
            <v>573</v>
          </cell>
          <cell r="G70">
            <v>2026128</v>
          </cell>
          <cell r="H70">
            <v>371</v>
          </cell>
          <cell r="I70">
            <v>1553006</v>
          </cell>
          <cell r="J70">
            <v>944</v>
          </cell>
          <cell r="K70">
            <v>3579134</v>
          </cell>
          <cell r="M70">
            <v>49.00000000000005</v>
          </cell>
          <cell r="N70">
            <v>106575.0000000001</v>
          </cell>
          <cell r="P70">
            <v>9.3878453038674028</v>
          </cell>
          <cell r="Q70">
            <v>3539.2176795580108</v>
          </cell>
          <cell r="T70">
            <v>65.933481152993366</v>
          </cell>
          <cell r="U70">
            <v>237030.86474501115</v>
          </cell>
          <cell r="W70">
            <v>2</v>
          </cell>
          <cell r="X70">
            <v>3574</v>
          </cell>
          <cell r="Z70">
            <v>12.000000000000037</v>
          </cell>
          <cell r="AA70">
            <v>2508.0000000000077</v>
          </cell>
          <cell r="AC70" t="str">
            <v>No</v>
          </cell>
          <cell r="AD70">
            <v>0</v>
          </cell>
          <cell r="AE70">
            <v>0</v>
          </cell>
        </row>
        <row r="71">
          <cell r="A71">
            <v>4229</v>
          </cell>
          <cell r="B71" t="str">
            <v>Millthorpe School</v>
          </cell>
          <cell r="F71">
            <v>566</v>
          </cell>
          <cell r="G71">
            <v>2001376</v>
          </cell>
          <cell r="H71">
            <v>374</v>
          </cell>
          <cell r="I71">
            <v>1565564</v>
          </cell>
          <cell r="J71">
            <v>940</v>
          </cell>
          <cell r="K71">
            <v>3566940</v>
          </cell>
          <cell r="M71">
            <v>84.000000000000028</v>
          </cell>
          <cell r="N71">
            <v>182700.00000000006</v>
          </cell>
          <cell r="P71">
            <v>9.6707818930041149</v>
          </cell>
          <cell r="Q71">
            <v>3645.8847736625512</v>
          </cell>
          <cell r="T71">
            <v>72.307692307692292</v>
          </cell>
          <cell r="U71">
            <v>259946.15384615379</v>
          </cell>
          <cell r="W71">
            <v>15.080213903743314</v>
          </cell>
          <cell r="X71">
            <v>26948.342245989301</v>
          </cell>
          <cell r="Z71">
            <v>35.000000000000014</v>
          </cell>
          <cell r="AA71">
            <v>7315.0000000000027</v>
          </cell>
          <cell r="AC71" t="str">
            <v>No</v>
          </cell>
          <cell r="AD71">
            <v>0</v>
          </cell>
          <cell r="AE71">
            <v>0</v>
          </cell>
        </row>
        <row r="72">
          <cell r="A72">
            <v>4703</v>
          </cell>
          <cell r="B72" t="str">
            <v>York High School</v>
          </cell>
          <cell r="F72">
            <v>482</v>
          </cell>
          <cell r="G72">
            <v>1704352</v>
          </cell>
          <cell r="H72">
            <v>309</v>
          </cell>
          <cell r="I72">
            <v>1293474</v>
          </cell>
          <cell r="J72">
            <v>791</v>
          </cell>
          <cell r="K72">
            <v>2997826</v>
          </cell>
          <cell r="M72">
            <v>174.99999999999972</v>
          </cell>
          <cell r="N72">
            <v>380624.99999999936</v>
          </cell>
          <cell r="P72">
            <v>5.0640204865556973</v>
          </cell>
          <cell r="Q72">
            <v>1909.1357234314978</v>
          </cell>
          <cell r="T72">
            <v>160.46293888166429</v>
          </cell>
          <cell r="U72">
            <v>576864.26527958305</v>
          </cell>
          <cell r="W72">
            <v>1.0000000000000031</v>
          </cell>
          <cell r="X72">
            <v>1787.0000000000055</v>
          </cell>
          <cell r="Z72">
            <v>31.999999999999996</v>
          </cell>
          <cell r="AA72">
            <v>6687.9999999999991</v>
          </cell>
          <cell r="AC72" t="str">
            <v>No</v>
          </cell>
          <cell r="AD72">
            <v>0</v>
          </cell>
          <cell r="AE72">
            <v>0</v>
          </cell>
        </row>
        <row r="74">
          <cell r="B74" t="str">
            <v>Total All Secondary Schools</v>
          </cell>
          <cell r="D74">
            <v>0</v>
          </cell>
          <cell r="E74">
            <v>0</v>
          </cell>
          <cell r="F74">
            <v>4989</v>
          </cell>
          <cell r="G74">
            <v>17641104</v>
          </cell>
          <cell r="H74">
            <v>3433</v>
          </cell>
          <cell r="I74">
            <v>14370538</v>
          </cell>
          <cell r="J74">
            <v>8422</v>
          </cell>
          <cell r="K74">
            <v>32011642</v>
          </cell>
          <cell r="M74">
            <v>798.80237138502298</v>
          </cell>
          <cell r="N74">
            <v>1737395.1577624248</v>
          </cell>
          <cell r="P74">
            <v>50.478506346093901</v>
          </cell>
          <cell r="Q74">
            <v>19030.396892477398</v>
          </cell>
          <cell r="S74">
            <v>0</v>
          </cell>
          <cell r="T74">
            <v>810.48142614628296</v>
          </cell>
          <cell r="U74">
            <v>2913680.7269958872</v>
          </cell>
          <cell r="W74">
            <v>77.313714867534117</v>
          </cell>
          <cell r="X74">
            <v>138159.60846828346</v>
          </cell>
          <cell r="Z74">
            <v>292.17790336309122</v>
          </cell>
          <cell r="AA74">
            <v>61065.181802886065</v>
          </cell>
          <cell r="AC74">
            <v>1</v>
          </cell>
          <cell r="AD74">
            <v>879</v>
          </cell>
          <cell r="AE74">
            <v>174042</v>
          </cell>
          <cell r="AG74">
            <v>0</v>
          </cell>
          <cell r="AK74">
            <v>0</v>
          </cell>
          <cell r="AL74">
            <v>0</v>
          </cell>
        </row>
        <row r="76">
          <cell r="B76" t="str">
            <v>TOTAL ALL SCHOOLS</v>
          </cell>
          <cell r="D76">
            <v>12808</v>
          </cell>
          <cell r="E76">
            <v>27178576</v>
          </cell>
          <cell r="F76">
            <v>4989</v>
          </cell>
          <cell r="G76">
            <v>17641104</v>
          </cell>
          <cell r="H76">
            <v>3433</v>
          </cell>
          <cell r="I76">
            <v>14370538</v>
          </cell>
          <cell r="J76">
            <v>21230</v>
          </cell>
          <cell r="K76">
            <v>59190218</v>
          </cell>
          <cell r="M76">
            <v>2335.7893388681578</v>
          </cell>
          <cell r="N76">
            <v>5028084.2551438166</v>
          </cell>
          <cell r="P76">
            <v>109.3328655741195</v>
          </cell>
          <cell r="Q76">
            <v>41218.490321443052</v>
          </cell>
          <cell r="S76">
            <v>2324.4746209474674</v>
          </cell>
          <cell r="T76">
            <v>810.48142614628296</v>
          </cell>
          <cell r="U76">
            <v>6174918.6201851834</v>
          </cell>
          <cell r="W76">
            <v>555.86264353481113</v>
          </cell>
          <cell r="X76">
            <v>457351.74388935708</v>
          </cell>
          <cell r="Z76">
            <v>1151.7797644296938</v>
          </cell>
          <cell r="AA76">
            <v>233845.15587727327</v>
          </cell>
          <cell r="AC76">
            <v>1</v>
          </cell>
          <cell r="AD76">
            <v>879</v>
          </cell>
          <cell r="AE76">
            <v>174042</v>
          </cell>
          <cell r="AG76">
            <v>696</v>
          </cell>
          <cell r="AH76">
            <v>0</v>
          </cell>
          <cell r="AI76">
            <v>0</v>
          </cell>
          <cell r="AJ76">
            <v>0</v>
          </cell>
          <cell r="AK76">
            <v>605363</v>
          </cell>
          <cell r="AL76">
            <v>437201</v>
          </cell>
        </row>
      </sheetData>
      <sheetData sheetId="9">
        <row r="7">
          <cell r="B7" t="str">
            <v>PRIMARY SCHOOLS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X7">
            <v>0</v>
          </cell>
          <cell r="AY7">
            <v>0</v>
          </cell>
          <cell r="BA7">
            <v>0</v>
          </cell>
          <cell r="BB7">
            <v>0</v>
          </cell>
          <cell r="BD7">
            <v>0</v>
          </cell>
          <cell r="BF7">
            <v>0</v>
          </cell>
        </row>
        <row r="8">
          <cell r="A8">
            <v>2000</v>
          </cell>
          <cell r="B8" t="str">
            <v>Acomb Primary</v>
          </cell>
          <cell r="D8" t="str">
            <v>No</v>
          </cell>
          <cell r="F8">
            <v>223</v>
          </cell>
          <cell r="G8">
            <v>0</v>
          </cell>
          <cell r="H8">
            <v>0</v>
          </cell>
          <cell r="I8">
            <v>223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Z8">
            <v>223</v>
          </cell>
          <cell r="AA8">
            <v>0</v>
          </cell>
          <cell r="AB8">
            <v>0</v>
          </cell>
          <cell r="AC8">
            <v>223</v>
          </cell>
          <cell r="AE8">
            <v>5.8295964125560498E-2</v>
          </cell>
          <cell r="AF8">
            <v>4.5662100456621002E-3</v>
          </cell>
          <cell r="AG8">
            <v>0.13445378151260501</v>
          </cell>
          <cell r="AH8">
            <v>5.6497175141242903E-3</v>
          </cell>
          <cell r="AI8">
            <v>1.79372197309417E-2</v>
          </cell>
          <cell r="AK8">
            <v>12.999999999999991</v>
          </cell>
          <cell r="AL8">
            <v>1.0182648401826484</v>
          </cell>
          <cell r="AM8">
            <v>29.983193277310917</v>
          </cell>
          <cell r="AN8">
            <v>1.2598870056497167</v>
          </cell>
          <cell r="AO8">
            <v>3.9999999999999991</v>
          </cell>
          <cell r="AQ8" t="str">
            <v>C</v>
          </cell>
          <cell r="AR8">
            <v>25434</v>
          </cell>
          <cell r="AS8">
            <v>0</v>
          </cell>
          <cell r="AT8">
            <v>0</v>
          </cell>
          <cell r="AU8">
            <v>0</v>
          </cell>
          <cell r="AV8">
            <v>25434</v>
          </cell>
          <cell r="AX8" t="str">
            <v>No</v>
          </cell>
          <cell r="AY8">
            <v>0</v>
          </cell>
          <cell r="BA8">
            <v>0</v>
          </cell>
          <cell r="BB8">
            <v>0</v>
          </cell>
          <cell r="BC8">
            <v>0</v>
          </cell>
          <cell r="BD8">
            <v>763669.19364753098</v>
          </cell>
          <cell r="BE8">
            <v>0</v>
          </cell>
          <cell r="BF8">
            <v>0</v>
          </cell>
        </row>
        <row r="9">
          <cell r="A9">
            <v>3229</v>
          </cell>
          <cell r="B9" t="str">
            <v>Archbishop of York's CE Junior</v>
          </cell>
          <cell r="D9" t="str">
            <v>No</v>
          </cell>
          <cell r="F9">
            <v>229</v>
          </cell>
          <cell r="G9">
            <v>0</v>
          </cell>
          <cell r="H9">
            <v>0</v>
          </cell>
          <cell r="I9">
            <v>229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Z9">
            <v>229</v>
          </cell>
          <cell r="AA9">
            <v>0</v>
          </cell>
          <cell r="AB9">
            <v>0</v>
          </cell>
          <cell r="AC9">
            <v>229</v>
          </cell>
          <cell r="AE9">
            <v>3.05676855895196E-2</v>
          </cell>
          <cell r="AF9">
            <v>0</v>
          </cell>
          <cell r="AG9">
            <v>0.21551724137931</v>
          </cell>
          <cell r="AH9">
            <v>4.3668122270742399E-3</v>
          </cell>
          <cell r="AI9">
            <v>3.9301310043668103E-2</v>
          </cell>
          <cell r="AK9">
            <v>6.9999999999999885</v>
          </cell>
          <cell r="AL9">
            <v>0</v>
          </cell>
          <cell r="AM9">
            <v>49.353448275861993</v>
          </cell>
          <cell r="AN9">
            <v>1.0000000000000009</v>
          </cell>
          <cell r="AO9">
            <v>8.9999999999999964</v>
          </cell>
          <cell r="AQ9" t="str">
            <v>VC</v>
          </cell>
          <cell r="AR9">
            <v>10951</v>
          </cell>
          <cell r="AS9">
            <v>0</v>
          </cell>
          <cell r="AT9">
            <v>0</v>
          </cell>
          <cell r="AU9">
            <v>0</v>
          </cell>
          <cell r="AV9">
            <v>10951</v>
          </cell>
          <cell r="AX9" t="str">
            <v>No</v>
          </cell>
          <cell r="AY9">
            <v>0</v>
          </cell>
          <cell r="BA9">
            <v>0</v>
          </cell>
          <cell r="BB9">
            <v>0</v>
          </cell>
          <cell r="BC9">
            <v>0</v>
          </cell>
          <cell r="BD9">
            <v>754637.77093594195</v>
          </cell>
          <cell r="BE9">
            <v>0</v>
          </cell>
          <cell r="BF9">
            <v>0</v>
          </cell>
        </row>
        <row r="10">
          <cell r="A10">
            <v>2431</v>
          </cell>
          <cell r="B10" t="str">
            <v>Badger Hill Primary</v>
          </cell>
          <cell r="D10" t="str">
            <v>No</v>
          </cell>
          <cell r="F10">
            <v>143</v>
          </cell>
          <cell r="G10">
            <v>0</v>
          </cell>
          <cell r="H10">
            <v>0</v>
          </cell>
          <cell r="I10">
            <v>143</v>
          </cell>
          <cell r="K10">
            <v>1</v>
          </cell>
          <cell r="L10">
            <v>0</v>
          </cell>
          <cell r="M10">
            <v>0</v>
          </cell>
          <cell r="N10">
            <v>1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Z10">
            <v>144</v>
          </cell>
          <cell r="AA10">
            <v>0</v>
          </cell>
          <cell r="AB10">
            <v>0</v>
          </cell>
          <cell r="AC10">
            <v>144</v>
          </cell>
          <cell r="AE10">
            <v>6.2937062937062901E-2</v>
          </cell>
          <cell r="AF10">
            <v>0</v>
          </cell>
          <cell r="AG10">
            <v>0.14492753623188401</v>
          </cell>
          <cell r="AH10">
            <v>0.19298245614035101</v>
          </cell>
          <cell r="AI10">
            <v>0.11888111888111901</v>
          </cell>
          <cell r="AK10">
            <v>9.062937062937058</v>
          </cell>
          <cell r="AL10">
            <v>0</v>
          </cell>
          <cell r="AM10">
            <v>20.869565217391298</v>
          </cell>
          <cell r="AN10">
            <v>27.789473684210545</v>
          </cell>
          <cell r="AO10">
            <v>17.118881118881138</v>
          </cell>
          <cell r="AQ10" t="str">
            <v>C</v>
          </cell>
          <cell r="AR10">
            <v>10362</v>
          </cell>
          <cell r="AS10">
            <v>0</v>
          </cell>
          <cell r="AT10">
            <v>0</v>
          </cell>
          <cell r="AU10">
            <v>0</v>
          </cell>
          <cell r="AV10">
            <v>10362</v>
          </cell>
          <cell r="AX10" t="str">
            <v>No</v>
          </cell>
          <cell r="AY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578538.53369605227</v>
          </cell>
          <cell r="BE10">
            <v>0</v>
          </cell>
          <cell r="BF10">
            <v>0</v>
          </cell>
        </row>
        <row r="11">
          <cell r="A11">
            <v>2386</v>
          </cell>
          <cell r="B11" t="str">
            <v>Bishopthorpe Infant</v>
          </cell>
          <cell r="D11" t="str">
            <v>No</v>
          </cell>
          <cell r="F11">
            <v>179</v>
          </cell>
          <cell r="G11">
            <v>0</v>
          </cell>
          <cell r="H11">
            <v>0</v>
          </cell>
          <cell r="I11">
            <v>179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Z11">
            <v>179</v>
          </cell>
          <cell r="AA11">
            <v>0</v>
          </cell>
          <cell r="AB11">
            <v>0</v>
          </cell>
          <cell r="AC11">
            <v>179</v>
          </cell>
          <cell r="AE11">
            <v>3.91061452513966E-2</v>
          </cell>
          <cell r="AF11">
            <v>0</v>
          </cell>
          <cell r="AG11">
            <v>0.198275862068966</v>
          </cell>
          <cell r="AH11">
            <v>8.3333333333333297E-3</v>
          </cell>
          <cell r="AI11">
            <v>1.11731843575419E-2</v>
          </cell>
          <cell r="AK11">
            <v>6.9999999999999911</v>
          </cell>
          <cell r="AL11">
            <v>0</v>
          </cell>
          <cell r="AM11">
            <v>35.491379310344911</v>
          </cell>
          <cell r="AN11">
            <v>1.491666666666666</v>
          </cell>
          <cell r="AO11">
            <v>2</v>
          </cell>
          <cell r="AQ11" t="str">
            <v>C</v>
          </cell>
          <cell r="AR11">
            <v>6183</v>
          </cell>
          <cell r="AS11">
            <v>0</v>
          </cell>
          <cell r="AT11">
            <v>0</v>
          </cell>
          <cell r="AU11">
            <v>0</v>
          </cell>
          <cell r="AV11">
            <v>6183</v>
          </cell>
          <cell r="AX11" t="str">
            <v>No</v>
          </cell>
          <cell r="AY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639443.98210907518</v>
          </cell>
          <cell r="BE11">
            <v>0</v>
          </cell>
          <cell r="BF11">
            <v>0</v>
          </cell>
        </row>
        <row r="12">
          <cell r="A12">
            <v>2024</v>
          </cell>
          <cell r="B12" t="str">
            <v>Burton Green Primary</v>
          </cell>
          <cell r="D12" t="str">
            <v>No</v>
          </cell>
          <cell r="F12">
            <v>161</v>
          </cell>
          <cell r="G12">
            <v>0</v>
          </cell>
          <cell r="H12">
            <v>0</v>
          </cell>
          <cell r="I12">
            <v>161</v>
          </cell>
          <cell r="K12">
            <v>4</v>
          </cell>
          <cell r="L12">
            <v>0</v>
          </cell>
          <cell r="M12">
            <v>0</v>
          </cell>
          <cell r="N12">
            <v>4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Z12">
            <v>165</v>
          </cell>
          <cell r="AA12">
            <v>0</v>
          </cell>
          <cell r="AB12">
            <v>0</v>
          </cell>
          <cell r="AC12">
            <v>165</v>
          </cell>
          <cell r="AE12">
            <v>0.35403726708074501</v>
          </cell>
          <cell r="AF12">
            <v>0</v>
          </cell>
          <cell r="AG12">
            <v>0.48913043478260898</v>
          </cell>
          <cell r="AH12">
            <v>6.3380281690140802E-2</v>
          </cell>
          <cell r="AI12">
            <v>0.111801242236025</v>
          </cell>
          <cell r="AK12">
            <v>58.416149068322923</v>
          </cell>
          <cell r="AL12">
            <v>0</v>
          </cell>
          <cell r="AM12">
            <v>80.70652173913048</v>
          </cell>
          <cell r="AN12">
            <v>10.457746478873233</v>
          </cell>
          <cell r="AO12">
            <v>18.447204968944124</v>
          </cell>
          <cell r="AQ12" t="str">
            <v>C</v>
          </cell>
          <cell r="AR12">
            <v>18252</v>
          </cell>
          <cell r="AS12">
            <v>0</v>
          </cell>
          <cell r="AT12">
            <v>0</v>
          </cell>
          <cell r="AU12">
            <v>0</v>
          </cell>
          <cell r="AV12">
            <v>18252</v>
          </cell>
          <cell r="AX12" t="str">
            <v>No</v>
          </cell>
          <cell r="AY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745672.47484249098</v>
          </cell>
          <cell r="BE12">
            <v>0</v>
          </cell>
          <cell r="BF12">
            <v>0</v>
          </cell>
        </row>
        <row r="13">
          <cell r="A13">
            <v>2003</v>
          </cell>
          <cell r="B13" t="str">
            <v>Carr Infant</v>
          </cell>
          <cell r="D13" t="str">
            <v>No</v>
          </cell>
          <cell r="F13">
            <v>227</v>
          </cell>
          <cell r="G13">
            <v>0</v>
          </cell>
          <cell r="H13">
            <v>0</v>
          </cell>
          <cell r="I13">
            <v>227</v>
          </cell>
          <cell r="K13">
            <v>2</v>
          </cell>
          <cell r="L13">
            <v>0</v>
          </cell>
          <cell r="M13">
            <v>0</v>
          </cell>
          <cell r="N13">
            <v>2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Z13">
            <v>229</v>
          </cell>
          <cell r="AA13">
            <v>0</v>
          </cell>
          <cell r="AB13">
            <v>0</v>
          </cell>
          <cell r="AC13">
            <v>229</v>
          </cell>
          <cell r="AE13">
            <v>0.22466960352422899</v>
          </cell>
          <cell r="AF13">
            <v>0</v>
          </cell>
          <cell r="AG13">
            <v>0.267123287671233</v>
          </cell>
          <cell r="AH13">
            <v>4.7619047619047603E-2</v>
          </cell>
          <cell r="AI13">
            <v>4.8458149779735699E-2</v>
          </cell>
          <cell r="AK13">
            <v>51.449339207048439</v>
          </cell>
          <cell r="AL13">
            <v>0</v>
          </cell>
          <cell r="AM13">
            <v>61.171232876712359</v>
          </cell>
          <cell r="AN13">
            <v>10.904761904761902</v>
          </cell>
          <cell r="AO13">
            <v>11.096916299559474</v>
          </cell>
          <cell r="AQ13" t="str">
            <v>C</v>
          </cell>
          <cell r="AR13">
            <v>9185</v>
          </cell>
          <cell r="AS13">
            <v>0</v>
          </cell>
          <cell r="AT13">
            <v>0</v>
          </cell>
          <cell r="AU13">
            <v>0</v>
          </cell>
          <cell r="AV13">
            <v>9185</v>
          </cell>
          <cell r="AX13" t="str">
            <v>No</v>
          </cell>
          <cell r="AY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862745.92874989135</v>
          </cell>
          <cell r="BE13">
            <v>0</v>
          </cell>
          <cell r="BF13">
            <v>0</v>
          </cell>
        </row>
        <row r="14">
          <cell r="A14">
            <v>2002</v>
          </cell>
          <cell r="B14" t="str">
            <v>Carr Junior</v>
          </cell>
          <cell r="D14" t="str">
            <v>No</v>
          </cell>
          <cell r="F14">
            <v>219</v>
          </cell>
          <cell r="G14">
            <v>0</v>
          </cell>
          <cell r="H14">
            <v>0</v>
          </cell>
          <cell r="I14">
            <v>219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Z14">
            <v>219</v>
          </cell>
          <cell r="AA14">
            <v>0</v>
          </cell>
          <cell r="AB14">
            <v>0</v>
          </cell>
          <cell r="AC14">
            <v>219</v>
          </cell>
          <cell r="AE14">
            <v>0.15981735159817401</v>
          </cell>
          <cell r="AF14">
            <v>1.8181818181818181E-2</v>
          </cell>
          <cell r="AG14">
            <v>0.27722772277227697</v>
          </cell>
          <cell r="AH14">
            <v>1.8264840182648401E-2</v>
          </cell>
          <cell r="AI14">
            <v>8.2191780821917804E-2</v>
          </cell>
          <cell r="AK14">
            <v>35.000000000000107</v>
          </cell>
          <cell r="AL14">
            <v>3.9818181818181815</v>
          </cell>
          <cell r="AM14">
            <v>60.712871287128657</v>
          </cell>
          <cell r="AN14">
            <v>4</v>
          </cell>
          <cell r="AO14">
            <v>18</v>
          </cell>
          <cell r="AQ14" t="str">
            <v>C</v>
          </cell>
          <cell r="AR14">
            <v>12246</v>
          </cell>
          <cell r="AS14">
            <v>0</v>
          </cell>
          <cell r="AT14">
            <v>1387</v>
          </cell>
          <cell r="AU14" t="str">
            <v>Children's Centre</v>
          </cell>
          <cell r="AV14">
            <v>10859</v>
          </cell>
          <cell r="AX14" t="str">
            <v>No</v>
          </cell>
          <cell r="AY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838032.11331847019</v>
          </cell>
          <cell r="BE14">
            <v>0</v>
          </cell>
          <cell r="BF14">
            <v>0</v>
          </cell>
        </row>
        <row r="15">
          <cell r="A15">
            <v>2018</v>
          </cell>
          <cell r="B15" t="str">
            <v>Clifton Green Primary</v>
          </cell>
          <cell r="D15" t="str">
            <v>No</v>
          </cell>
          <cell r="F15">
            <v>359</v>
          </cell>
          <cell r="G15">
            <v>0</v>
          </cell>
          <cell r="H15">
            <v>0</v>
          </cell>
          <cell r="I15">
            <v>359</v>
          </cell>
          <cell r="K15">
            <v>3</v>
          </cell>
          <cell r="L15">
            <v>0</v>
          </cell>
          <cell r="M15">
            <v>0</v>
          </cell>
          <cell r="N15">
            <v>3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Z15">
            <v>362</v>
          </cell>
          <cell r="AA15">
            <v>0</v>
          </cell>
          <cell r="AB15">
            <v>0</v>
          </cell>
          <cell r="AC15">
            <v>362</v>
          </cell>
          <cell r="AE15">
            <v>0.34818941504178302</v>
          </cell>
          <cell r="AF15">
            <v>2.8490028490028491E-3</v>
          </cell>
          <cell r="AG15">
            <v>0.300492610837438</v>
          </cell>
          <cell r="AH15">
            <v>9.6345514950166106E-2</v>
          </cell>
          <cell r="AI15">
            <v>8.3565459610027898E-2</v>
          </cell>
          <cell r="AK15">
            <v>126.04456824512546</v>
          </cell>
          <cell r="AL15">
            <v>1.0313390313390314</v>
          </cell>
          <cell r="AM15">
            <v>108.77832512315256</v>
          </cell>
          <cell r="AN15">
            <v>34.877076411960132</v>
          </cell>
          <cell r="AO15">
            <v>30.250696378830099</v>
          </cell>
          <cell r="AQ15" t="str">
            <v>C</v>
          </cell>
          <cell r="AR15">
            <v>18958</v>
          </cell>
          <cell r="AS15">
            <v>0</v>
          </cell>
          <cell r="AT15">
            <v>0</v>
          </cell>
          <cell r="AU15">
            <v>0</v>
          </cell>
          <cell r="AV15">
            <v>18958</v>
          </cell>
          <cell r="AX15" t="str">
            <v>No</v>
          </cell>
          <cell r="AY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1405291.8007379232</v>
          </cell>
          <cell r="BE15">
            <v>0</v>
          </cell>
          <cell r="BF15">
            <v>0</v>
          </cell>
        </row>
        <row r="16">
          <cell r="A16">
            <v>2430</v>
          </cell>
          <cell r="B16" t="str">
            <v>Clifton With Rawcliffe Primary</v>
          </cell>
          <cell r="D16" t="str">
            <v>No</v>
          </cell>
          <cell r="F16">
            <v>535</v>
          </cell>
          <cell r="G16">
            <v>0</v>
          </cell>
          <cell r="H16">
            <v>0</v>
          </cell>
          <cell r="I16">
            <v>535</v>
          </cell>
          <cell r="K16">
            <v>1</v>
          </cell>
          <cell r="L16">
            <v>0</v>
          </cell>
          <cell r="M16">
            <v>0</v>
          </cell>
          <cell r="N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Z16">
            <v>536</v>
          </cell>
          <cell r="AA16">
            <v>0</v>
          </cell>
          <cell r="AB16">
            <v>0</v>
          </cell>
          <cell r="AC16">
            <v>536</v>
          </cell>
          <cell r="AE16">
            <v>4.2990654205607499E-2</v>
          </cell>
          <cell r="AF16">
            <v>5.8027079303675051E-3</v>
          </cell>
          <cell r="AG16">
            <v>7.7490774907749096E-2</v>
          </cell>
          <cell r="AH16">
            <v>3.14606741573034E-2</v>
          </cell>
          <cell r="AI16">
            <v>2.4299065420560699E-2</v>
          </cell>
          <cell r="AK16">
            <v>23.042990654205621</v>
          </cell>
          <cell r="AL16">
            <v>3.1102514506769827</v>
          </cell>
          <cell r="AM16">
            <v>41.535055350553513</v>
          </cell>
          <cell r="AN16">
            <v>16.862921348314622</v>
          </cell>
          <cell r="AO16">
            <v>13.024299065420534</v>
          </cell>
          <cell r="AQ16" t="str">
            <v>C</v>
          </cell>
          <cell r="AR16">
            <v>23383</v>
          </cell>
          <cell r="AS16">
            <v>0</v>
          </cell>
          <cell r="AT16">
            <v>0</v>
          </cell>
          <cell r="AU16">
            <v>0</v>
          </cell>
          <cell r="AV16">
            <v>23383</v>
          </cell>
          <cell r="AX16" t="str">
            <v>No</v>
          </cell>
          <cell r="AY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1605565.4407771786</v>
          </cell>
          <cell r="BE16">
            <v>0</v>
          </cell>
          <cell r="BF16">
            <v>0</v>
          </cell>
        </row>
        <row r="17">
          <cell r="A17">
            <v>2013</v>
          </cell>
          <cell r="B17" t="str">
            <v>Copmanthorpe Primary</v>
          </cell>
          <cell r="D17" t="str">
            <v>No</v>
          </cell>
          <cell r="F17">
            <v>348</v>
          </cell>
          <cell r="G17">
            <v>0</v>
          </cell>
          <cell r="H17">
            <v>0</v>
          </cell>
          <cell r="I17">
            <v>348</v>
          </cell>
          <cell r="K17">
            <v>1</v>
          </cell>
          <cell r="L17">
            <v>0</v>
          </cell>
          <cell r="M17">
            <v>0</v>
          </cell>
          <cell r="N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Z17">
            <v>349</v>
          </cell>
          <cell r="AA17">
            <v>0</v>
          </cell>
          <cell r="AB17">
            <v>0</v>
          </cell>
          <cell r="AC17">
            <v>349</v>
          </cell>
          <cell r="AE17">
            <v>3.4482758620689703E-2</v>
          </cell>
          <cell r="AF17">
            <v>0</v>
          </cell>
          <cell r="AG17">
            <v>0.100478468899522</v>
          </cell>
          <cell r="AH17">
            <v>1.67785234899329E-2</v>
          </cell>
          <cell r="AI17">
            <v>0.160919540229885</v>
          </cell>
          <cell r="AK17">
            <v>12.034482758620706</v>
          </cell>
          <cell r="AL17">
            <v>0</v>
          </cell>
          <cell r="AM17">
            <v>35.06698564593318</v>
          </cell>
          <cell r="AN17">
            <v>5.8557046979865817</v>
          </cell>
          <cell r="AO17">
            <v>56.160919540229862</v>
          </cell>
          <cell r="AQ17" t="str">
            <v>C</v>
          </cell>
          <cell r="AR17">
            <v>15779</v>
          </cell>
          <cell r="AS17">
            <v>0</v>
          </cell>
          <cell r="AT17">
            <v>0</v>
          </cell>
          <cell r="AU17">
            <v>0</v>
          </cell>
          <cell r="AV17">
            <v>15779</v>
          </cell>
          <cell r="AX17" t="str">
            <v>No</v>
          </cell>
          <cell r="AY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1056367.6813416162</v>
          </cell>
          <cell r="BE17">
            <v>0</v>
          </cell>
          <cell r="BF17">
            <v>0</v>
          </cell>
        </row>
        <row r="18">
          <cell r="A18">
            <v>2006</v>
          </cell>
          <cell r="B18" t="str">
            <v>Derwent Infant</v>
          </cell>
          <cell r="D18" t="str">
            <v>No</v>
          </cell>
          <cell r="F18">
            <v>45</v>
          </cell>
          <cell r="G18">
            <v>0</v>
          </cell>
          <cell r="H18">
            <v>0</v>
          </cell>
          <cell r="I18">
            <v>45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Z18">
            <v>45</v>
          </cell>
          <cell r="AA18">
            <v>0</v>
          </cell>
          <cell r="AB18">
            <v>0</v>
          </cell>
          <cell r="AC18">
            <v>45</v>
          </cell>
          <cell r="AE18">
            <v>0.51111111111111096</v>
          </cell>
          <cell r="AF18">
            <v>4.3478260869565216E-2</v>
          </cell>
          <cell r="AG18">
            <v>0.31034482758620702</v>
          </cell>
          <cell r="AH18">
            <v>0.1</v>
          </cell>
          <cell r="AI18">
            <v>0.155555555555556</v>
          </cell>
          <cell r="AK18">
            <v>22.999999999999993</v>
          </cell>
          <cell r="AL18">
            <v>1.9565217391304348</v>
          </cell>
          <cell r="AM18">
            <v>13.965517241379315</v>
          </cell>
          <cell r="AN18">
            <v>4.5</v>
          </cell>
          <cell r="AO18">
            <v>7.0000000000000204</v>
          </cell>
          <cell r="AQ18" t="str">
            <v>C</v>
          </cell>
          <cell r="AR18">
            <v>5526</v>
          </cell>
          <cell r="AS18">
            <v>0</v>
          </cell>
          <cell r="AT18">
            <v>1076</v>
          </cell>
          <cell r="AU18" t="str">
            <v>Children's Centre + Police</v>
          </cell>
          <cell r="AV18">
            <v>4450</v>
          </cell>
          <cell r="AX18" t="str">
            <v>No</v>
          </cell>
          <cell r="AY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360594.31050013407</v>
          </cell>
          <cell r="BE18">
            <v>0</v>
          </cell>
          <cell r="BF18">
            <v>0</v>
          </cell>
        </row>
        <row r="19">
          <cell r="A19">
            <v>2005</v>
          </cell>
          <cell r="B19" t="str">
            <v>Derwent Junior</v>
          </cell>
          <cell r="D19" t="str">
            <v>No</v>
          </cell>
          <cell r="F19">
            <v>54</v>
          </cell>
          <cell r="G19">
            <v>0</v>
          </cell>
          <cell r="H19">
            <v>0</v>
          </cell>
          <cell r="I19">
            <v>54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Z19">
            <v>54</v>
          </cell>
          <cell r="AA19">
            <v>0</v>
          </cell>
          <cell r="AB19">
            <v>0</v>
          </cell>
          <cell r="AC19">
            <v>54</v>
          </cell>
          <cell r="AE19">
            <v>0.407407407407407</v>
          </cell>
          <cell r="AF19">
            <v>0</v>
          </cell>
          <cell r="AG19">
            <v>0.28000000000000003</v>
          </cell>
          <cell r="AH19">
            <v>1.85185185185185E-2</v>
          </cell>
          <cell r="AI19">
            <v>0.12962962962963001</v>
          </cell>
          <cell r="AK19">
            <v>21.999999999999979</v>
          </cell>
          <cell r="AL19">
            <v>0</v>
          </cell>
          <cell r="AM19">
            <v>15.120000000000001</v>
          </cell>
          <cell r="AN19">
            <v>0.999999999999999</v>
          </cell>
          <cell r="AO19">
            <v>7.0000000000000204</v>
          </cell>
          <cell r="AQ19" t="str">
            <v>C</v>
          </cell>
          <cell r="AR19">
            <v>5526</v>
          </cell>
          <cell r="AS19">
            <v>0</v>
          </cell>
          <cell r="AT19">
            <v>0</v>
          </cell>
          <cell r="AU19">
            <v>0</v>
          </cell>
          <cell r="AV19">
            <v>5526</v>
          </cell>
          <cell r="AX19" t="str">
            <v>No</v>
          </cell>
          <cell r="AY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368474.80336779001</v>
          </cell>
          <cell r="BE19">
            <v>0</v>
          </cell>
          <cell r="BF19">
            <v>0</v>
          </cell>
        </row>
        <row r="20">
          <cell r="A20">
            <v>2007</v>
          </cell>
          <cell r="B20" t="str">
            <v>Dringhouses Primary</v>
          </cell>
          <cell r="D20" t="str">
            <v>No</v>
          </cell>
          <cell r="F20">
            <v>295</v>
          </cell>
          <cell r="G20">
            <v>0</v>
          </cell>
          <cell r="H20">
            <v>0</v>
          </cell>
          <cell r="I20">
            <v>295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Z20">
            <v>295</v>
          </cell>
          <cell r="AA20">
            <v>0</v>
          </cell>
          <cell r="AB20">
            <v>0</v>
          </cell>
          <cell r="AC20">
            <v>295</v>
          </cell>
          <cell r="AE20">
            <v>7.7966101694915302E-2</v>
          </cell>
          <cell r="AF20">
            <v>6.5146579804560263E-3</v>
          </cell>
          <cell r="AG20">
            <v>8.8050314465408799E-2</v>
          </cell>
          <cell r="AH20">
            <v>2.4E-2</v>
          </cell>
          <cell r="AI20">
            <v>7.1186440677966104E-2</v>
          </cell>
          <cell r="AK20">
            <v>23.000000000000014</v>
          </cell>
          <cell r="AL20">
            <v>1.9218241042345279</v>
          </cell>
          <cell r="AM20">
            <v>25.974842767295595</v>
          </cell>
          <cell r="AN20">
            <v>7.08</v>
          </cell>
          <cell r="AO20">
            <v>21</v>
          </cell>
          <cell r="AQ20" t="str">
            <v>C</v>
          </cell>
          <cell r="AR20">
            <v>17427</v>
          </cell>
          <cell r="AS20">
            <v>0</v>
          </cell>
          <cell r="AT20">
            <v>0</v>
          </cell>
          <cell r="AU20">
            <v>0</v>
          </cell>
          <cell r="AV20">
            <v>17427</v>
          </cell>
          <cell r="AX20" t="str">
            <v>No</v>
          </cell>
          <cell r="AY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929574.95667442132</v>
          </cell>
          <cell r="BE20">
            <v>0</v>
          </cell>
          <cell r="BF20">
            <v>0</v>
          </cell>
        </row>
        <row r="21">
          <cell r="A21">
            <v>3151</v>
          </cell>
          <cell r="B21" t="str">
            <v>Dunnington Primary</v>
          </cell>
          <cell r="D21" t="str">
            <v>No</v>
          </cell>
          <cell r="F21">
            <v>248</v>
          </cell>
          <cell r="G21">
            <v>0</v>
          </cell>
          <cell r="H21">
            <v>0</v>
          </cell>
          <cell r="I21">
            <v>248</v>
          </cell>
          <cell r="K21">
            <v>1</v>
          </cell>
          <cell r="L21">
            <v>0</v>
          </cell>
          <cell r="M21">
            <v>0</v>
          </cell>
          <cell r="N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Z21">
            <v>249</v>
          </cell>
          <cell r="AA21">
            <v>0</v>
          </cell>
          <cell r="AB21">
            <v>0</v>
          </cell>
          <cell r="AC21">
            <v>249</v>
          </cell>
          <cell r="AE21">
            <v>4.0322580645161303E-2</v>
          </cell>
          <cell r="AF21">
            <v>0</v>
          </cell>
          <cell r="AG21">
            <v>2.4E-2</v>
          </cell>
          <cell r="AH21">
            <v>1.4218009478673001E-2</v>
          </cell>
          <cell r="AI21">
            <v>6.0483870967741903E-2</v>
          </cell>
          <cell r="AK21">
            <v>10.040322580645164</v>
          </cell>
          <cell r="AL21">
            <v>0</v>
          </cell>
          <cell r="AM21">
            <v>5.976</v>
          </cell>
          <cell r="AN21">
            <v>3.540284360189577</v>
          </cell>
          <cell r="AO21">
            <v>15.060483870967733</v>
          </cell>
          <cell r="AQ21" t="str">
            <v>VC</v>
          </cell>
          <cell r="AR21">
            <v>16839</v>
          </cell>
          <cell r="AS21">
            <v>0</v>
          </cell>
          <cell r="AT21">
            <v>0</v>
          </cell>
          <cell r="AU21">
            <v>0</v>
          </cell>
          <cell r="AV21">
            <v>16839</v>
          </cell>
          <cell r="AX21" t="str">
            <v>No</v>
          </cell>
          <cell r="AY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789682.86663626204</v>
          </cell>
          <cell r="BE21">
            <v>0</v>
          </cell>
          <cell r="BF21">
            <v>0</v>
          </cell>
        </row>
        <row r="22">
          <cell r="A22">
            <v>3152</v>
          </cell>
          <cell r="B22" t="str">
            <v>Elvington Primary</v>
          </cell>
          <cell r="D22" t="str">
            <v>No</v>
          </cell>
          <cell r="F22">
            <v>135</v>
          </cell>
          <cell r="G22">
            <v>0</v>
          </cell>
          <cell r="H22">
            <v>0</v>
          </cell>
          <cell r="I22">
            <v>135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Z22">
            <v>135</v>
          </cell>
          <cell r="AA22">
            <v>0</v>
          </cell>
          <cell r="AB22">
            <v>0</v>
          </cell>
          <cell r="AC22">
            <v>135</v>
          </cell>
          <cell r="AE22">
            <v>2.2222222222222199E-2</v>
          </cell>
          <cell r="AF22">
            <v>0</v>
          </cell>
          <cell r="AG22">
            <v>9.85915492957746E-2</v>
          </cell>
          <cell r="AH22">
            <v>0</v>
          </cell>
          <cell r="AI22">
            <v>0.10370370370370401</v>
          </cell>
          <cell r="AK22">
            <v>2.9999999999999969</v>
          </cell>
          <cell r="AL22">
            <v>0</v>
          </cell>
          <cell r="AM22">
            <v>13.309859154929571</v>
          </cell>
          <cell r="AN22">
            <v>0</v>
          </cell>
          <cell r="AO22">
            <v>14.000000000000041</v>
          </cell>
          <cell r="AQ22" t="str">
            <v>VC</v>
          </cell>
          <cell r="AR22">
            <v>8714</v>
          </cell>
          <cell r="AS22">
            <v>0</v>
          </cell>
          <cell r="AT22">
            <v>0</v>
          </cell>
          <cell r="AU22">
            <v>0</v>
          </cell>
          <cell r="AV22">
            <v>8714</v>
          </cell>
          <cell r="AX22" t="str">
            <v>No</v>
          </cell>
          <cell r="AY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504574.97731057118</v>
          </cell>
          <cell r="BE22">
            <v>0</v>
          </cell>
          <cell r="BF22">
            <v>0</v>
          </cell>
        </row>
        <row r="23">
          <cell r="A23">
            <v>2008</v>
          </cell>
          <cell r="B23" t="str">
            <v>Fishergate Primary</v>
          </cell>
          <cell r="D23" t="str">
            <v>No</v>
          </cell>
          <cell r="F23">
            <v>224</v>
          </cell>
          <cell r="G23">
            <v>0</v>
          </cell>
          <cell r="H23">
            <v>0</v>
          </cell>
          <cell r="I23">
            <v>224</v>
          </cell>
          <cell r="K23">
            <v>6</v>
          </cell>
          <cell r="L23">
            <v>0</v>
          </cell>
          <cell r="M23">
            <v>0</v>
          </cell>
          <cell r="N23">
            <v>6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Z23">
            <v>230</v>
          </cell>
          <cell r="AA23">
            <v>0</v>
          </cell>
          <cell r="AB23">
            <v>0</v>
          </cell>
          <cell r="AC23">
            <v>230</v>
          </cell>
          <cell r="AE23">
            <v>9.375E-2</v>
          </cell>
          <cell r="AF23">
            <v>4.9019607843137254E-3</v>
          </cell>
          <cell r="AG23">
            <v>0.13008130081300801</v>
          </cell>
          <cell r="AH23">
            <v>0.10989010989011</v>
          </cell>
          <cell r="AI23">
            <v>0.14285714285714299</v>
          </cell>
          <cell r="AK23">
            <v>21.5625</v>
          </cell>
          <cell r="AL23">
            <v>1.1274509803921569</v>
          </cell>
          <cell r="AM23">
            <v>29.918699186991841</v>
          </cell>
          <cell r="AN23">
            <v>25.274725274725299</v>
          </cell>
          <cell r="AO23">
            <v>32.85714285714289</v>
          </cell>
          <cell r="AQ23" t="str">
            <v>C</v>
          </cell>
          <cell r="AR23">
            <v>11304</v>
          </cell>
          <cell r="AS23">
            <v>0</v>
          </cell>
          <cell r="AT23">
            <v>0</v>
          </cell>
          <cell r="AU23">
            <v>0</v>
          </cell>
          <cell r="AV23">
            <v>11304</v>
          </cell>
          <cell r="AX23" t="str">
            <v>No</v>
          </cell>
          <cell r="AY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847016.27255347278</v>
          </cell>
          <cell r="BE23">
            <v>0</v>
          </cell>
          <cell r="BF23">
            <v>0</v>
          </cell>
        </row>
        <row r="24">
          <cell r="A24">
            <v>2009</v>
          </cell>
          <cell r="B24" t="str">
            <v>Haxby Road Primary</v>
          </cell>
          <cell r="D24" t="str">
            <v>No</v>
          </cell>
          <cell r="F24">
            <v>184</v>
          </cell>
          <cell r="G24">
            <v>0</v>
          </cell>
          <cell r="H24">
            <v>0</v>
          </cell>
          <cell r="I24">
            <v>184</v>
          </cell>
          <cell r="K24">
            <v>1</v>
          </cell>
          <cell r="L24">
            <v>0</v>
          </cell>
          <cell r="M24">
            <v>0</v>
          </cell>
          <cell r="N24">
            <v>1</v>
          </cell>
          <cell r="P24">
            <v>-26</v>
          </cell>
          <cell r="Q24">
            <v>0</v>
          </cell>
          <cell r="R24">
            <v>0</v>
          </cell>
          <cell r="S24">
            <v>-26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Z24">
            <v>159</v>
          </cell>
          <cell r="AA24">
            <v>0</v>
          </cell>
          <cell r="AB24">
            <v>0</v>
          </cell>
          <cell r="AC24">
            <v>159</v>
          </cell>
          <cell r="AE24">
            <v>0.41304347826087001</v>
          </cell>
          <cell r="AF24">
            <v>2.197802197802198E-2</v>
          </cell>
          <cell r="AG24">
            <v>0.46</v>
          </cell>
          <cell r="AH24">
            <v>0.120253164556962</v>
          </cell>
          <cell r="AI24">
            <v>0.119565217391304</v>
          </cell>
          <cell r="AK24">
            <v>65.673913043478336</v>
          </cell>
          <cell r="AL24">
            <v>3.494505494505495</v>
          </cell>
          <cell r="AM24">
            <v>73.14</v>
          </cell>
          <cell r="AN24">
            <v>19.120253164556956</v>
          </cell>
          <cell r="AO24">
            <v>19.010869565217337</v>
          </cell>
          <cell r="AQ24" t="str">
            <v>C</v>
          </cell>
          <cell r="AR24">
            <v>11187</v>
          </cell>
          <cell r="AS24">
            <v>0</v>
          </cell>
          <cell r="AT24">
            <v>2426</v>
          </cell>
          <cell r="AU24" t="str">
            <v>Children's Centre</v>
          </cell>
          <cell r="AV24">
            <v>8761</v>
          </cell>
          <cell r="AX24" t="str">
            <v>No</v>
          </cell>
          <cell r="AY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772633.7508625011</v>
          </cell>
          <cell r="BE24">
            <v>0</v>
          </cell>
          <cell r="BF24">
            <v>0</v>
          </cell>
        </row>
        <row r="25">
          <cell r="A25">
            <v>2241</v>
          </cell>
          <cell r="B25" t="str">
            <v>Headlands Primary</v>
          </cell>
          <cell r="D25" t="str">
            <v>No</v>
          </cell>
          <cell r="F25">
            <v>280</v>
          </cell>
          <cell r="G25">
            <v>0</v>
          </cell>
          <cell r="H25">
            <v>0</v>
          </cell>
          <cell r="I25">
            <v>280</v>
          </cell>
          <cell r="K25">
            <v>1</v>
          </cell>
          <cell r="L25">
            <v>0</v>
          </cell>
          <cell r="M25">
            <v>0</v>
          </cell>
          <cell r="N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Z25">
            <v>281</v>
          </cell>
          <cell r="AA25">
            <v>0</v>
          </cell>
          <cell r="AB25">
            <v>0</v>
          </cell>
          <cell r="AC25">
            <v>281</v>
          </cell>
          <cell r="AE25">
            <v>1.0714285714285701E-2</v>
          </cell>
          <cell r="AF25">
            <v>0</v>
          </cell>
          <cell r="AG25">
            <v>7.69230769230769E-2</v>
          </cell>
          <cell r="AH25">
            <v>2.1097046413502098E-2</v>
          </cell>
          <cell r="AI25">
            <v>4.6428571428571402E-2</v>
          </cell>
          <cell r="AK25">
            <v>3.0107142857142817</v>
          </cell>
          <cell r="AL25">
            <v>0</v>
          </cell>
          <cell r="AM25">
            <v>21.61538461538461</v>
          </cell>
          <cell r="AN25">
            <v>5.9282700421940895</v>
          </cell>
          <cell r="AO25">
            <v>13.046428571428564</v>
          </cell>
          <cell r="AQ25" t="str">
            <v>C</v>
          </cell>
          <cell r="AR25">
            <v>14248</v>
          </cell>
          <cell r="AS25">
            <v>0</v>
          </cell>
          <cell r="AT25">
            <v>0</v>
          </cell>
          <cell r="AU25">
            <v>0</v>
          </cell>
          <cell r="AV25">
            <v>14248</v>
          </cell>
          <cell r="AX25" t="str">
            <v>No</v>
          </cell>
          <cell r="AY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860412.18206166523</v>
          </cell>
          <cell r="BE25">
            <v>0</v>
          </cell>
          <cell r="BF25">
            <v>0</v>
          </cell>
        </row>
        <row r="26">
          <cell r="A26">
            <v>2001</v>
          </cell>
          <cell r="B26" t="str">
            <v>Hempland Primary</v>
          </cell>
          <cell r="D26" t="str">
            <v>No</v>
          </cell>
          <cell r="F26">
            <v>410</v>
          </cell>
          <cell r="G26">
            <v>0</v>
          </cell>
          <cell r="H26">
            <v>0</v>
          </cell>
          <cell r="I26">
            <v>410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Z26">
            <v>410</v>
          </cell>
          <cell r="AA26">
            <v>0</v>
          </cell>
          <cell r="AB26">
            <v>0</v>
          </cell>
          <cell r="AC26">
            <v>410</v>
          </cell>
          <cell r="AE26">
            <v>1.46341463414634E-2</v>
          </cell>
          <cell r="AF26">
            <v>2.4154589371980675E-3</v>
          </cell>
          <cell r="AG26">
            <v>0.146017699115044</v>
          </cell>
          <cell r="AH26">
            <v>1.42450142450142E-2</v>
          </cell>
          <cell r="AI26">
            <v>1.7073170731707301E-2</v>
          </cell>
          <cell r="AK26">
            <v>5.9999999999999938</v>
          </cell>
          <cell r="AL26">
            <v>0.99033816425120769</v>
          </cell>
          <cell r="AM26">
            <v>59.86725663716804</v>
          </cell>
          <cell r="AN26">
            <v>5.8404558404558218</v>
          </cell>
          <cell r="AO26">
            <v>6.9999999999999938</v>
          </cell>
          <cell r="AQ26" t="str">
            <v>C</v>
          </cell>
          <cell r="AR26">
            <v>17781</v>
          </cell>
          <cell r="AS26">
            <v>0</v>
          </cell>
          <cell r="AT26">
            <v>0</v>
          </cell>
          <cell r="AU26">
            <v>0</v>
          </cell>
          <cell r="AV26">
            <v>17781</v>
          </cell>
          <cell r="AX26" t="str">
            <v>No</v>
          </cell>
          <cell r="AY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1185357.104528168</v>
          </cell>
          <cell r="BE26">
            <v>0</v>
          </cell>
          <cell r="BF26">
            <v>0</v>
          </cell>
        </row>
        <row r="27">
          <cell r="A27">
            <v>3302</v>
          </cell>
          <cell r="B27" t="str">
            <v>Heworth CE Primary</v>
          </cell>
          <cell r="D27" t="str">
            <v>No</v>
          </cell>
          <cell r="F27">
            <v>142</v>
          </cell>
          <cell r="G27">
            <v>0</v>
          </cell>
          <cell r="H27">
            <v>0</v>
          </cell>
          <cell r="I27">
            <v>142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Z27">
            <v>142</v>
          </cell>
          <cell r="AA27">
            <v>0</v>
          </cell>
          <cell r="AB27">
            <v>0</v>
          </cell>
          <cell r="AC27">
            <v>142</v>
          </cell>
          <cell r="AE27">
            <v>9.1549295774647904E-2</v>
          </cell>
          <cell r="AF27">
            <v>6.993006993006993E-3</v>
          </cell>
          <cell r="AG27">
            <v>2.8985507246376802E-2</v>
          </cell>
          <cell r="AH27">
            <v>1.6260162601626001E-2</v>
          </cell>
          <cell r="AI27">
            <v>1.4084507042253501E-2</v>
          </cell>
          <cell r="AK27">
            <v>13.000000000000002</v>
          </cell>
          <cell r="AL27">
            <v>0.99300699300699302</v>
          </cell>
          <cell r="AM27">
            <v>4.115942028985506</v>
          </cell>
          <cell r="AN27">
            <v>2.3089430894308922</v>
          </cell>
          <cell r="AO27">
            <v>1.9999999999999971</v>
          </cell>
          <cell r="AQ27" t="str">
            <v>VA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X27" t="str">
            <v>No</v>
          </cell>
          <cell r="AY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520663.21773152135</v>
          </cell>
          <cell r="BE27">
            <v>0</v>
          </cell>
          <cell r="BF27">
            <v>0</v>
          </cell>
        </row>
        <row r="28">
          <cell r="A28">
            <v>2028</v>
          </cell>
          <cell r="B28" t="str">
            <v>Hob Moor Primary</v>
          </cell>
          <cell r="D28" t="str">
            <v>No</v>
          </cell>
          <cell r="F28">
            <v>267</v>
          </cell>
          <cell r="G28">
            <v>0</v>
          </cell>
          <cell r="H28">
            <v>0</v>
          </cell>
          <cell r="I28">
            <v>267</v>
          </cell>
          <cell r="K28">
            <v>2</v>
          </cell>
          <cell r="L28">
            <v>0</v>
          </cell>
          <cell r="M28">
            <v>0</v>
          </cell>
          <cell r="N28">
            <v>2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Z28">
            <v>269</v>
          </cell>
          <cell r="AA28">
            <v>0</v>
          </cell>
          <cell r="AB28">
            <v>0</v>
          </cell>
          <cell r="AC28">
            <v>269</v>
          </cell>
          <cell r="AE28">
            <v>0.33333333333333298</v>
          </cell>
          <cell r="AF28">
            <v>7.6335877862595417E-3</v>
          </cell>
          <cell r="AG28">
            <v>0.21621621621621601</v>
          </cell>
          <cell r="AH28">
            <v>4.8672566371681401E-2</v>
          </cell>
          <cell r="AI28">
            <v>8.6142322097378293E-2</v>
          </cell>
          <cell r="AK28">
            <v>89.666666666666572</v>
          </cell>
          <cell r="AL28">
            <v>2.0534351145038165</v>
          </cell>
          <cell r="AM28">
            <v>58.162162162162105</v>
          </cell>
          <cell r="AN28">
            <v>13.092920353982297</v>
          </cell>
          <cell r="AO28">
            <v>23.172284644194761</v>
          </cell>
          <cell r="AQ28" t="str">
            <v>C</v>
          </cell>
          <cell r="AR28">
            <v>32906</v>
          </cell>
          <cell r="AS28">
            <v>0</v>
          </cell>
          <cell r="AT28">
            <v>0</v>
          </cell>
          <cell r="AU28">
            <v>0</v>
          </cell>
          <cell r="AV28">
            <v>32906</v>
          </cell>
          <cell r="AX28" t="str">
            <v>Yes</v>
          </cell>
          <cell r="AY28">
            <v>182011</v>
          </cell>
          <cell r="BA28">
            <v>0</v>
          </cell>
          <cell r="BB28">
            <v>0</v>
          </cell>
          <cell r="BC28">
            <v>0</v>
          </cell>
          <cell r="BD28">
            <v>1200975.5587318772</v>
          </cell>
          <cell r="BE28">
            <v>0</v>
          </cell>
          <cell r="BF28">
            <v>0</v>
          </cell>
        </row>
        <row r="29">
          <cell r="A29">
            <v>2180</v>
          </cell>
          <cell r="B29" t="str">
            <v>Huntington Primary</v>
          </cell>
          <cell r="D29" t="str">
            <v>No</v>
          </cell>
          <cell r="F29">
            <v>411</v>
          </cell>
          <cell r="G29">
            <v>0</v>
          </cell>
          <cell r="H29">
            <v>0</v>
          </cell>
          <cell r="I29">
            <v>411</v>
          </cell>
          <cell r="K29">
            <v>1</v>
          </cell>
          <cell r="L29">
            <v>0</v>
          </cell>
          <cell r="M29">
            <v>0</v>
          </cell>
          <cell r="N29">
            <v>1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Z29">
            <v>412</v>
          </cell>
          <cell r="AA29">
            <v>0</v>
          </cell>
          <cell r="AB29">
            <v>0</v>
          </cell>
          <cell r="AC29">
            <v>412</v>
          </cell>
          <cell r="AE29">
            <v>5.3527980535279802E-2</v>
          </cell>
          <cell r="AF29">
            <v>7.481296758104738E-3</v>
          </cell>
          <cell r="AG29">
            <v>0.23404255319148901</v>
          </cell>
          <cell r="AH29">
            <v>1.6620498614958502E-2</v>
          </cell>
          <cell r="AI29">
            <v>7.2992700729927001E-2</v>
          </cell>
          <cell r="AK29">
            <v>22.053527980535279</v>
          </cell>
          <cell r="AL29">
            <v>3.082294264339152</v>
          </cell>
          <cell r="AM29">
            <v>96.425531914893469</v>
          </cell>
          <cell r="AN29">
            <v>6.8476454293629025</v>
          </cell>
          <cell r="AO29">
            <v>30.072992700729923</v>
          </cell>
          <cell r="AQ29" t="str">
            <v>C</v>
          </cell>
          <cell r="AR29">
            <v>17898</v>
          </cell>
          <cell r="AS29">
            <v>0</v>
          </cell>
          <cell r="AT29">
            <v>0</v>
          </cell>
          <cell r="AU29">
            <v>0</v>
          </cell>
          <cell r="AV29">
            <v>17898</v>
          </cell>
          <cell r="AX29" t="str">
            <v>No</v>
          </cell>
          <cell r="AY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1208643.1942778598</v>
          </cell>
          <cell r="BE29">
            <v>0</v>
          </cell>
          <cell r="BF29">
            <v>0</v>
          </cell>
        </row>
        <row r="30">
          <cell r="A30">
            <v>2011</v>
          </cell>
          <cell r="B30" t="str">
            <v>Knavesmire Primary</v>
          </cell>
          <cell r="D30" t="str">
            <v>No</v>
          </cell>
          <cell r="F30">
            <v>284</v>
          </cell>
          <cell r="G30">
            <v>0</v>
          </cell>
          <cell r="H30">
            <v>0</v>
          </cell>
          <cell r="I30">
            <v>284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Z30">
            <v>284</v>
          </cell>
          <cell r="AA30">
            <v>0</v>
          </cell>
          <cell r="AB30">
            <v>0</v>
          </cell>
          <cell r="AC30">
            <v>284</v>
          </cell>
          <cell r="AE30">
            <v>5.2816901408450703E-2</v>
          </cell>
          <cell r="AF30">
            <v>3.8910505836575876E-3</v>
          </cell>
          <cell r="AG30">
            <v>0.153374233128834</v>
          </cell>
          <cell r="AH30">
            <v>4.4052863436123404E-3</v>
          </cell>
          <cell r="AI30">
            <v>4.2253521126760597E-2</v>
          </cell>
          <cell r="AK30">
            <v>15</v>
          </cell>
          <cell r="AL30">
            <v>1.1050583657587549</v>
          </cell>
          <cell r="AM30">
            <v>43.558282208588857</v>
          </cell>
          <cell r="AN30">
            <v>1.2511013215859046</v>
          </cell>
          <cell r="AO30">
            <v>12.000000000000009</v>
          </cell>
          <cell r="AQ30" t="str">
            <v>C</v>
          </cell>
          <cell r="AR30">
            <v>10833</v>
          </cell>
          <cell r="AS30">
            <v>0</v>
          </cell>
          <cell r="AT30">
            <v>794</v>
          </cell>
          <cell r="AU30" t="str">
            <v>Children's Centre</v>
          </cell>
          <cell r="AV30">
            <v>10039</v>
          </cell>
          <cell r="AX30" t="str">
            <v>No</v>
          </cell>
          <cell r="AY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973140.50548035151</v>
          </cell>
          <cell r="BE30">
            <v>0</v>
          </cell>
          <cell r="BF30">
            <v>0</v>
          </cell>
        </row>
        <row r="31">
          <cell r="A31">
            <v>2428</v>
          </cell>
          <cell r="B31" t="str">
            <v>Lakeside Primary</v>
          </cell>
          <cell r="D31" t="str">
            <v>No</v>
          </cell>
          <cell r="F31">
            <v>327</v>
          </cell>
          <cell r="G31">
            <v>0</v>
          </cell>
          <cell r="H31">
            <v>0</v>
          </cell>
          <cell r="I31">
            <v>327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Z31">
            <v>327</v>
          </cell>
          <cell r="AA31">
            <v>0</v>
          </cell>
          <cell r="AB31">
            <v>0</v>
          </cell>
          <cell r="AC31">
            <v>327</v>
          </cell>
          <cell r="AE31">
            <v>0.125382262996942</v>
          </cell>
          <cell r="AF31">
            <v>0</v>
          </cell>
          <cell r="AG31">
            <v>0.15730337078651699</v>
          </cell>
          <cell r="AH31">
            <v>6.2962962962962998E-2</v>
          </cell>
          <cell r="AI31">
            <v>5.1987767584097899E-2</v>
          </cell>
          <cell r="AK31">
            <v>41.000000000000036</v>
          </cell>
          <cell r="AL31">
            <v>0</v>
          </cell>
          <cell r="AM31">
            <v>51.438202247191057</v>
          </cell>
          <cell r="AN31">
            <v>20.588888888888899</v>
          </cell>
          <cell r="AO31">
            <v>17.000000000000014</v>
          </cell>
          <cell r="AQ31" t="str">
            <v>C</v>
          </cell>
          <cell r="AR31">
            <v>25434</v>
          </cell>
          <cell r="AS31">
            <v>0</v>
          </cell>
          <cell r="AT31">
            <v>0</v>
          </cell>
          <cell r="AU31">
            <v>0</v>
          </cell>
          <cell r="AV31">
            <v>25434</v>
          </cell>
          <cell r="AX31" t="str">
            <v>No</v>
          </cell>
          <cell r="AY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1054668.4675817573</v>
          </cell>
          <cell r="BE31">
            <v>0</v>
          </cell>
          <cell r="BF31">
            <v>0</v>
          </cell>
        </row>
        <row r="32">
          <cell r="A32">
            <v>3158</v>
          </cell>
          <cell r="B32" t="str">
            <v>Lord Deramore's Primary</v>
          </cell>
          <cell r="D32" t="str">
            <v>No</v>
          </cell>
          <cell r="F32">
            <v>205</v>
          </cell>
          <cell r="G32">
            <v>0</v>
          </cell>
          <cell r="H32">
            <v>0</v>
          </cell>
          <cell r="I32">
            <v>205</v>
          </cell>
          <cell r="K32">
            <v>1</v>
          </cell>
          <cell r="L32">
            <v>0</v>
          </cell>
          <cell r="M32">
            <v>0</v>
          </cell>
          <cell r="N32">
            <v>1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Z32">
            <v>206</v>
          </cell>
          <cell r="AA32">
            <v>0</v>
          </cell>
          <cell r="AB32">
            <v>0</v>
          </cell>
          <cell r="AC32">
            <v>206</v>
          </cell>
          <cell r="AE32">
            <v>4.8780487804878099E-2</v>
          </cell>
          <cell r="AF32">
            <v>9.5238095238095247E-3</v>
          </cell>
          <cell r="AG32">
            <v>8.8495575221238895E-2</v>
          </cell>
          <cell r="AH32">
            <v>0.13218390804597699</v>
          </cell>
          <cell r="AI32">
            <v>6.3414634146341506E-2</v>
          </cell>
          <cell r="AK32">
            <v>10.048780487804889</v>
          </cell>
          <cell r="AL32">
            <v>1.961904761904762</v>
          </cell>
          <cell r="AM32">
            <v>18.230088495575213</v>
          </cell>
          <cell r="AN32">
            <v>27.229885057471261</v>
          </cell>
          <cell r="AO32">
            <v>13.06341463414635</v>
          </cell>
          <cell r="AQ32" t="str">
            <v>VC</v>
          </cell>
          <cell r="AR32">
            <v>9420</v>
          </cell>
          <cell r="AS32">
            <v>0</v>
          </cell>
          <cell r="AT32">
            <v>0</v>
          </cell>
          <cell r="AU32">
            <v>0</v>
          </cell>
          <cell r="AV32">
            <v>9420</v>
          </cell>
          <cell r="AX32" t="str">
            <v>No</v>
          </cell>
          <cell r="AY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706280.13123294828</v>
          </cell>
          <cell r="BE32">
            <v>0</v>
          </cell>
          <cell r="BF32">
            <v>0</v>
          </cell>
        </row>
        <row r="33">
          <cell r="A33">
            <v>3159</v>
          </cell>
          <cell r="B33" t="str">
            <v>Naburn CE Primary</v>
          </cell>
          <cell r="D33" t="str">
            <v>No</v>
          </cell>
          <cell r="F33">
            <v>87</v>
          </cell>
          <cell r="G33">
            <v>0</v>
          </cell>
          <cell r="H33">
            <v>0</v>
          </cell>
          <cell r="I33">
            <v>87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Z33">
            <v>87</v>
          </cell>
          <cell r="AA33">
            <v>0</v>
          </cell>
          <cell r="AB33">
            <v>0</v>
          </cell>
          <cell r="AC33">
            <v>87</v>
          </cell>
          <cell r="AE33">
            <v>3.4482758620689703E-2</v>
          </cell>
          <cell r="AF33">
            <v>0</v>
          </cell>
          <cell r="AG33">
            <v>0.14893617021276601</v>
          </cell>
          <cell r="AH33">
            <v>0.04</v>
          </cell>
          <cell r="AI33">
            <v>8.04597701149425E-2</v>
          </cell>
          <cell r="AK33">
            <v>3.000000000000004</v>
          </cell>
          <cell r="AL33">
            <v>0</v>
          </cell>
          <cell r="AM33">
            <v>12.957446808510642</v>
          </cell>
          <cell r="AN33">
            <v>3.48</v>
          </cell>
          <cell r="AO33">
            <v>6.9999999999999973</v>
          </cell>
          <cell r="AQ33" t="str">
            <v>VC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X33" t="str">
            <v>No</v>
          </cell>
          <cell r="AY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381965.3900614208</v>
          </cell>
          <cell r="BE33">
            <v>0</v>
          </cell>
          <cell r="BF33">
            <v>0</v>
          </cell>
        </row>
        <row r="34">
          <cell r="A34">
            <v>3901</v>
          </cell>
          <cell r="B34" t="str">
            <v>New Earswick Primary</v>
          </cell>
          <cell r="D34" t="str">
            <v>No</v>
          </cell>
          <cell r="F34">
            <v>179</v>
          </cell>
          <cell r="G34">
            <v>0</v>
          </cell>
          <cell r="H34">
            <v>0</v>
          </cell>
          <cell r="I34">
            <v>179</v>
          </cell>
          <cell r="K34">
            <v>1</v>
          </cell>
          <cell r="L34">
            <v>0</v>
          </cell>
          <cell r="M34">
            <v>0</v>
          </cell>
          <cell r="N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Z34">
            <v>180</v>
          </cell>
          <cell r="AA34">
            <v>0</v>
          </cell>
          <cell r="AB34">
            <v>0</v>
          </cell>
          <cell r="AC34">
            <v>180</v>
          </cell>
          <cell r="AE34">
            <v>0.27374301675977702</v>
          </cell>
          <cell r="AF34">
            <v>6.1349693251533744E-3</v>
          </cell>
          <cell r="AG34">
            <v>0.133333333333333</v>
          </cell>
          <cell r="AH34">
            <v>0</v>
          </cell>
          <cell r="AI34">
            <v>7.2625698324022395E-2</v>
          </cell>
          <cell r="AK34">
            <v>49.273743016759866</v>
          </cell>
          <cell r="AL34">
            <v>1.1042944785276074</v>
          </cell>
          <cell r="AM34">
            <v>23.99999999999994</v>
          </cell>
          <cell r="AN34">
            <v>0</v>
          </cell>
          <cell r="AO34">
            <v>13.072625698324032</v>
          </cell>
          <cell r="AQ34" t="str">
            <v>VA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X34" t="str">
            <v>No</v>
          </cell>
          <cell r="AY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714289.07298488542</v>
          </cell>
          <cell r="BE34">
            <v>0</v>
          </cell>
          <cell r="BF34">
            <v>0</v>
          </cell>
        </row>
        <row r="35">
          <cell r="A35">
            <v>2176</v>
          </cell>
          <cell r="B35" t="str">
            <v>Osbaldwick Primary</v>
          </cell>
          <cell r="D35" t="str">
            <v>No</v>
          </cell>
          <cell r="F35">
            <v>202</v>
          </cell>
          <cell r="G35">
            <v>0</v>
          </cell>
          <cell r="H35">
            <v>0</v>
          </cell>
          <cell r="I35">
            <v>202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Z35">
            <v>202</v>
          </cell>
          <cell r="AA35">
            <v>0</v>
          </cell>
          <cell r="AB35">
            <v>0</v>
          </cell>
          <cell r="AC35">
            <v>202</v>
          </cell>
          <cell r="AE35">
            <v>0.16831683168316799</v>
          </cell>
          <cell r="AF35">
            <v>4.8780487804878049E-3</v>
          </cell>
          <cell r="AG35">
            <v>0.24545454545454501</v>
          </cell>
          <cell r="AH35">
            <v>4.0697674418604703E-2</v>
          </cell>
          <cell r="AI35">
            <v>7.9207920792079195E-2</v>
          </cell>
          <cell r="AK35">
            <v>33.999999999999936</v>
          </cell>
          <cell r="AL35">
            <v>0.98536585365853657</v>
          </cell>
          <cell r="AM35">
            <v>49.581818181818093</v>
          </cell>
          <cell r="AN35">
            <v>8.2209302325581497</v>
          </cell>
          <cell r="AO35">
            <v>15.999999999999998</v>
          </cell>
          <cell r="AQ35" t="str">
            <v>C</v>
          </cell>
          <cell r="AR35">
            <v>8714</v>
          </cell>
          <cell r="AS35">
            <v>0</v>
          </cell>
          <cell r="AT35">
            <v>0</v>
          </cell>
          <cell r="AU35">
            <v>0</v>
          </cell>
          <cell r="AV35">
            <v>8714</v>
          </cell>
          <cell r="AX35" t="str">
            <v>No</v>
          </cell>
          <cell r="AY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777733.4387132983</v>
          </cell>
          <cell r="BE35">
            <v>0</v>
          </cell>
          <cell r="BF35">
            <v>0</v>
          </cell>
        </row>
        <row r="36">
          <cell r="A36">
            <v>3904</v>
          </cell>
          <cell r="B36" t="str">
            <v>Our Lady Queen Of Martyrs RC Primary</v>
          </cell>
          <cell r="D36" t="str">
            <v>No</v>
          </cell>
          <cell r="F36">
            <v>402</v>
          </cell>
          <cell r="G36">
            <v>0</v>
          </cell>
          <cell r="H36">
            <v>0</v>
          </cell>
          <cell r="I36">
            <v>402</v>
          </cell>
          <cell r="K36">
            <v>2</v>
          </cell>
          <cell r="L36">
            <v>0</v>
          </cell>
          <cell r="M36">
            <v>0</v>
          </cell>
          <cell r="N36">
            <v>2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Z36">
            <v>404</v>
          </cell>
          <cell r="AA36">
            <v>0</v>
          </cell>
          <cell r="AB36">
            <v>0</v>
          </cell>
          <cell r="AC36">
            <v>404</v>
          </cell>
          <cell r="AE36">
            <v>9.4527363184079602E-2</v>
          </cell>
          <cell r="AF36">
            <v>0</v>
          </cell>
          <cell r="AG36">
            <v>9.2105263157894704E-2</v>
          </cell>
          <cell r="AH36">
            <v>3.2258064516128997E-2</v>
          </cell>
          <cell r="AI36">
            <v>2.48756218905473E-2</v>
          </cell>
          <cell r="AK36">
            <v>38.189054726368163</v>
          </cell>
          <cell r="AL36">
            <v>0</v>
          </cell>
          <cell r="AM36">
            <v>37.210526315789458</v>
          </cell>
          <cell r="AN36">
            <v>13.032258064516114</v>
          </cell>
          <cell r="AO36">
            <v>10.04975124378111</v>
          </cell>
          <cell r="AQ36" t="str">
            <v>VA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X36" t="str">
            <v>No</v>
          </cell>
          <cell r="AY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1368454.5290022835</v>
          </cell>
          <cell r="BE36">
            <v>0</v>
          </cell>
          <cell r="BF36">
            <v>0</v>
          </cell>
        </row>
        <row r="37">
          <cell r="A37">
            <v>2012</v>
          </cell>
          <cell r="B37" t="str">
            <v>Park Grove Primary</v>
          </cell>
          <cell r="D37" t="str">
            <v>No</v>
          </cell>
          <cell r="F37">
            <v>261</v>
          </cell>
          <cell r="G37">
            <v>0</v>
          </cell>
          <cell r="H37">
            <v>0</v>
          </cell>
          <cell r="I37">
            <v>261</v>
          </cell>
          <cell r="K37">
            <v>3</v>
          </cell>
          <cell r="L37">
            <v>0</v>
          </cell>
          <cell r="M37">
            <v>0</v>
          </cell>
          <cell r="N37">
            <v>3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Z37">
            <v>264</v>
          </cell>
          <cell r="AA37">
            <v>0</v>
          </cell>
          <cell r="AB37">
            <v>0</v>
          </cell>
          <cell r="AC37">
            <v>264</v>
          </cell>
          <cell r="AE37">
            <v>9.1954022988505704E-2</v>
          </cell>
          <cell r="AF37">
            <v>0</v>
          </cell>
          <cell r="AG37">
            <v>0.3203125</v>
          </cell>
          <cell r="AH37">
            <v>5.8035714285714302E-2</v>
          </cell>
          <cell r="AI37">
            <v>7.6628352490421506E-2</v>
          </cell>
          <cell r="AK37">
            <v>24.275862068965505</v>
          </cell>
          <cell r="AL37">
            <v>0</v>
          </cell>
          <cell r="AM37">
            <v>84.5625</v>
          </cell>
          <cell r="AN37">
            <v>15.321428571428577</v>
          </cell>
          <cell r="AO37">
            <v>20.229885057471279</v>
          </cell>
          <cell r="AQ37" t="str">
            <v>C</v>
          </cell>
          <cell r="AR37">
            <v>15190</v>
          </cell>
          <cell r="AS37">
            <v>0</v>
          </cell>
          <cell r="AT37">
            <v>0</v>
          </cell>
          <cell r="AU37">
            <v>0</v>
          </cell>
          <cell r="AV37">
            <v>15190</v>
          </cell>
          <cell r="AX37" t="str">
            <v>No</v>
          </cell>
          <cell r="AY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954505.09546876838</v>
          </cell>
          <cell r="BE37">
            <v>0</v>
          </cell>
          <cell r="BF37">
            <v>0</v>
          </cell>
        </row>
        <row r="38">
          <cell r="A38">
            <v>2029</v>
          </cell>
          <cell r="B38" t="str">
            <v>Poppleton Ousebank Primary</v>
          </cell>
          <cell r="D38" t="str">
            <v>No</v>
          </cell>
          <cell r="F38">
            <v>419</v>
          </cell>
          <cell r="G38">
            <v>0</v>
          </cell>
          <cell r="H38">
            <v>0</v>
          </cell>
          <cell r="I38">
            <v>419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Z38">
            <v>419</v>
          </cell>
          <cell r="AA38">
            <v>0</v>
          </cell>
          <cell r="AB38">
            <v>0</v>
          </cell>
          <cell r="AC38">
            <v>419</v>
          </cell>
          <cell r="AE38">
            <v>3.8186157517899798E-2</v>
          </cell>
          <cell r="AF38">
            <v>7.7519379844961239E-3</v>
          </cell>
          <cell r="AG38">
            <v>2.6315789473684199E-2</v>
          </cell>
          <cell r="AH38">
            <v>1.7045454545454499E-2</v>
          </cell>
          <cell r="AI38">
            <v>4.77326968973747E-2</v>
          </cell>
          <cell r="AK38">
            <v>16.000000000000014</v>
          </cell>
          <cell r="AL38">
            <v>3.248062015503876</v>
          </cell>
          <cell r="AM38">
            <v>11.02631578947368</v>
          </cell>
          <cell r="AN38">
            <v>7.1420454545454355</v>
          </cell>
          <cell r="AO38">
            <v>20</v>
          </cell>
          <cell r="AQ38" t="str">
            <v>C</v>
          </cell>
          <cell r="AR38">
            <v>17545</v>
          </cell>
          <cell r="AS38">
            <v>0</v>
          </cell>
          <cell r="AT38">
            <v>0</v>
          </cell>
          <cell r="AU38">
            <v>0</v>
          </cell>
          <cell r="AV38">
            <v>17545</v>
          </cell>
          <cell r="AX38" t="str">
            <v>No</v>
          </cell>
          <cell r="AY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1216165.0594251871</v>
          </cell>
          <cell r="BE38">
            <v>0</v>
          </cell>
          <cell r="BF38">
            <v>0</v>
          </cell>
        </row>
        <row r="39">
          <cell r="A39">
            <v>2014</v>
          </cell>
          <cell r="B39" t="str">
            <v>Poppleton Road Primary</v>
          </cell>
          <cell r="D39" t="str">
            <v>No</v>
          </cell>
          <cell r="F39">
            <v>384</v>
          </cell>
          <cell r="G39">
            <v>0</v>
          </cell>
          <cell r="H39">
            <v>0</v>
          </cell>
          <cell r="I39">
            <v>384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Z39">
            <v>384</v>
          </cell>
          <cell r="AA39">
            <v>0</v>
          </cell>
          <cell r="AB39">
            <v>0</v>
          </cell>
          <cell r="AC39">
            <v>384</v>
          </cell>
          <cell r="AE39">
            <v>0.125</v>
          </cell>
          <cell r="AF39">
            <v>8.0000000000000002E-3</v>
          </cell>
          <cell r="AG39">
            <v>0.19111111111111101</v>
          </cell>
          <cell r="AH39">
            <v>3.07692307692308E-3</v>
          </cell>
          <cell r="AI39">
            <v>7.03125E-2</v>
          </cell>
          <cell r="AK39">
            <v>48</v>
          </cell>
          <cell r="AL39">
            <v>3.0720000000000001</v>
          </cell>
          <cell r="AM39">
            <v>73.386666666666628</v>
          </cell>
          <cell r="AN39">
            <v>1.1815384615384628</v>
          </cell>
          <cell r="AO39">
            <v>27</v>
          </cell>
          <cell r="AQ39" t="str">
            <v>C</v>
          </cell>
          <cell r="AR39">
            <v>15897</v>
          </cell>
          <cell r="AS39">
            <v>0</v>
          </cell>
          <cell r="AT39">
            <v>0</v>
          </cell>
          <cell r="AU39">
            <v>0</v>
          </cell>
          <cell r="AV39">
            <v>15897</v>
          </cell>
          <cell r="AX39" t="str">
            <v>No</v>
          </cell>
          <cell r="AY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1251657.0551129894</v>
          </cell>
          <cell r="BE39">
            <v>0</v>
          </cell>
          <cell r="BF39">
            <v>0</v>
          </cell>
        </row>
        <row r="40">
          <cell r="A40">
            <v>2058</v>
          </cell>
          <cell r="B40" t="str">
            <v>Ralph Butterfield Primary</v>
          </cell>
          <cell r="D40" t="str">
            <v>No</v>
          </cell>
          <cell r="F40">
            <v>310</v>
          </cell>
          <cell r="G40">
            <v>0</v>
          </cell>
          <cell r="H40">
            <v>0</v>
          </cell>
          <cell r="I40">
            <v>310</v>
          </cell>
          <cell r="K40">
            <v>1</v>
          </cell>
          <cell r="L40">
            <v>0</v>
          </cell>
          <cell r="M40">
            <v>0</v>
          </cell>
          <cell r="N40">
            <v>1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Z40">
            <v>311</v>
          </cell>
          <cell r="AA40">
            <v>0</v>
          </cell>
          <cell r="AB40">
            <v>0</v>
          </cell>
          <cell r="AC40">
            <v>311</v>
          </cell>
          <cell r="AE40">
            <v>3.2258064516128997E-2</v>
          </cell>
          <cell r="AF40">
            <v>3.3333333333333335E-3</v>
          </cell>
          <cell r="AG40">
            <v>6.21468926553672E-2</v>
          </cell>
          <cell r="AH40">
            <v>1.13636363636364E-2</v>
          </cell>
          <cell r="AI40">
            <v>3.2258064516128997E-2</v>
          </cell>
          <cell r="AK40">
            <v>10.032258064516117</v>
          </cell>
          <cell r="AL40">
            <v>1.0366666666666666</v>
          </cell>
          <cell r="AM40">
            <v>19.3276836158192</v>
          </cell>
          <cell r="AN40">
            <v>3.5340909090909207</v>
          </cell>
          <cell r="AO40">
            <v>10.032258064516117</v>
          </cell>
          <cell r="AQ40" t="str">
            <v>C</v>
          </cell>
          <cell r="AR40">
            <v>15661</v>
          </cell>
          <cell r="AS40">
            <v>0</v>
          </cell>
          <cell r="AT40">
            <v>0</v>
          </cell>
          <cell r="AU40">
            <v>0</v>
          </cell>
          <cell r="AV40">
            <v>15661</v>
          </cell>
          <cell r="AX40" t="str">
            <v>No</v>
          </cell>
          <cell r="AY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924107.58436829271</v>
          </cell>
          <cell r="BE40">
            <v>0</v>
          </cell>
          <cell r="BF40">
            <v>0</v>
          </cell>
        </row>
        <row r="41">
          <cell r="A41">
            <v>3212</v>
          </cell>
          <cell r="B41" t="str">
            <v>Robert Wilkinson Primary</v>
          </cell>
          <cell r="D41" t="str">
            <v>No</v>
          </cell>
          <cell r="F41">
            <v>576</v>
          </cell>
          <cell r="G41">
            <v>0</v>
          </cell>
          <cell r="H41">
            <v>0</v>
          </cell>
          <cell r="I41">
            <v>576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Z41">
            <v>576</v>
          </cell>
          <cell r="AA41">
            <v>0</v>
          </cell>
          <cell r="AB41">
            <v>0</v>
          </cell>
          <cell r="AC41">
            <v>576</v>
          </cell>
          <cell r="AE41">
            <v>3.4722222222222203E-2</v>
          </cell>
          <cell r="AF41">
            <v>7.0298769771528994E-3</v>
          </cell>
          <cell r="AG41">
            <v>0.17027863777089799</v>
          </cell>
          <cell r="AH41">
            <v>1.4256619144602901E-2</v>
          </cell>
          <cell r="AI41">
            <v>9.7222222222222196E-2</v>
          </cell>
          <cell r="AK41">
            <v>19.999999999999989</v>
          </cell>
          <cell r="AL41">
            <v>4.0492091388400704</v>
          </cell>
          <cell r="AM41">
            <v>98.080495356037247</v>
          </cell>
          <cell r="AN41">
            <v>8.2118126272912715</v>
          </cell>
          <cell r="AO41">
            <v>55.999999999999986</v>
          </cell>
          <cell r="AQ41" t="str">
            <v>VC</v>
          </cell>
          <cell r="AR41">
            <v>47100</v>
          </cell>
          <cell r="AS41">
            <v>0</v>
          </cell>
          <cell r="AT41">
            <v>0</v>
          </cell>
          <cell r="AU41">
            <v>0</v>
          </cell>
          <cell r="AV41">
            <v>47100</v>
          </cell>
          <cell r="AX41" t="str">
            <v>No</v>
          </cell>
          <cell r="AY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1686572.3102769889</v>
          </cell>
          <cell r="BE41">
            <v>0</v>
          </cell>
          <cell r="BF41">
            <v>0</v>
          </cell>
        </row>
        <row r="42">
          <cell r="A42">
            <v>2349</v>
          </cell>
          <cell r="B42" t="str">
            <v>Rufforth Primary</v>
          </cell>
          <cell r="D42" t="str">
            <v>No</v>
          </cell>
          <cell r="F42">
            <v>71</v>
          </cell>
          <cell r="G42">
            <v>0</v>
          </cell>
          <cell r="H42">
            <v>0</v>
          </cell>
          <cell r="I42">
            <v>71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Z42">
            <v>71</v>
          </cell>
          <cell r="AA42">
            <v>0</v>
          </cell>
          <cell r="AB42">
            <v>0</v>
          </cell>
          <cell r="AC42">
            <v>71</v>
          </cell>
          <cell r="AE42">
            <v>5.63380281690141E-2</v>
          </cell>
          <cell r="AF42">
            <v>0</v>
          </cell>
          <cell r="AG42">
            <v>5.1282051282051301E-2</v>
          </cell>
          <cell r="AH42">
            <v>0</v>
          </cell>
          <cell r="AI42">
            <v>2.8169014084507001E-2</v>
          </cell>
          <cell r="AK42">
            <v>4.0000000000000009</v>
          </cell>
          <cell r="AL42">
            <v>0</v>
          </cell>
          <cell r="AM42">
            <v>3.6410256410256423</v>
          </cell>
          <cell r="AN42">
            <v>0</v>
          </cell>
          <cell r="AO42">
            <v>1.9999999999999971</v>
          </cell>
          <cell r="AQ42" t="str">
            <v>C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X42" t="str">
            <v>No</v>
          </cell>
          <cell r="AY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369382.72399789654</v>
          </cell>
          <cell r="BE42">
            <v>0</v>
          </cell>
          <cell r="BF42">
            <v>0</v>
          </cell>
        </row>
        <row r="43">
          <cell r="A43">
            <v>2016</v>
          </cell>
          <cell r="B43" t="str">
            <v>Scarcroft Primary</v>
          </cell>
          <cell r="D43" t="str">
            <v>No</v>
          </cell>
          <cell r="F43">
            <v>323</v>
          </cell>
          <cell r="G43">
            <v>0</v>
          </cell>
          <cell r="H43">
            <v>0</v>
          </cell>
          <cell r="I43">
            <v>323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Z43">
            <v>323</v>
          </cell>
          <cell r="AA43">
            <v>0</v>
          </cell>
          <cell r="AB43">
            <v>0</v>
          </cell>
          <cell r="AC43">
            <v>323</v>
          </cell>
          <cell r="AE43">
            <v>0.11764705882352899</v>
          </cell>
          <cell r="AF43">
            <v>0</v>
          </cell>
          <cell r="AG43">
            <v>0.20320855614973299</v>
          </cell>
          <cell r="AH43">
            <v>3.2490974729241902E-2</v>
          </cell>
          <cell r="AI43">
            <v>7.1207430340557307E-2</v>
          </cell>
          <cell r="AK43">
            <v>37.999999999999865</v>
          </cell>
          <cell r="AL43">
            <v>0</v>
          </cell>
          <cell r="AM43">
            <v>65.636363636363754</v>
          </cell>
          <cell r="AN43">
            <v>10.494584837545135</v>
          </cell>
          <cell r="AO43">
            <v>23.000000000000011</v>
          </cell>
          <cell r="AQ43" t="str">
            <v>C</v>
          </cell>
          <cell r="AR43">
            <v>13659</v>
          </cell>
          <cell r="AS43">
            <v>0</v>
          </cell>
          <cell r="AT43">
            <v>0</v>
          </cell>
          <cell r="AU43">
            <v>0</v>
          </cell>
          <cell r="AV43">
            <v>13659</v>
          </cell>
          <cell r="AX43" t="str">
            <v>No</v>
          </cell>
          <cell r="AY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1069499.495152609</v>
          </cell>
          <cell r="BE43">
            <v>0</v>
          </cell>
          <cell r="BF43">
            <v>0</v>
          </cell>
        </row>
        <row r="44">
          <cell r="A44">
            <v>2169</v>
          </cell>
          <cell r="B44" t="str">
            <v>Skelton Primary</v>
          </cell>
          <cell r="D44" t="str">
            <v>No</v>
          </cell>
          <cell r="F44">
            <v>103</v>
          </cell>
          <cell r="G44">
            <v>0</v>
          </cell>
          <cell r="H44">
            <v>0</v>
          </cell>
          <cell r="I44">
            <v>103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Z44">
            <v>103</v>
          </cell>
          <cell r="AA44">
            <v>0</v>
          </cell>
          <cell r="AB44">
            <v>0</v>
          </cell>
          <cell r="AC44">
            <v>103</v>
          </cell>
          <cell r="AE44">
            <v>0.15533980582524301</v>
          </cell>
          <cell r="AF44">
            <v>0</v>
          </cell>
          <cell r="AG44">
            <v>0.14285714285714299</v>
          </cell>
          <cell r="AH44">
            <v>0</v>
          </cell>
          <cell r="AI44">
            <v>0.116504854368932</v>
          </cell>
          <cell r="AK44">
            <v>16.000000000000028</v>
          </cell>
          <cell r="AL44">
            <v>0</v>
          </cell>
          <cell r="AM44">
            <v>14.714285714285728</v>
          </cell>
          <cell r="AN44">
            <v>0</v>
          </cell>
          <cell r="AO44">
            <v>11.999999999999996</v>
          </cell>
          <cell r="AQ44" t="str">
            <v>C</v>
          </cell>
          <cell r="AR44">
            <v>5882</v>
          </cell>
          <cell r="AS44">
            <v>0</v>
          </cell>
          <cell r="AT44">
            <v>0</v>
          </cell>
          <cell r="AU44">
            <v>0</v>
          </cell>
          <cell r="AV44">
            <v>5882</v>
          </cell>
          <cell r="AX44" t="str">
            <v>No</v>
          </cell>
          <cell r="AY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479527.64607432939</v>
          </cell>
          <cell r="BE44">
            <v>0</v>
          </cell>
          <cell r="BF44">
            <v>0</v>
          </cell>
        </row>
        <row r="45">
          <cell r="A45">
            <v>3401</v>
          </cell>
          <cell r="B45" t="str">
            <v>St. Aelred's RC Primary</v>
          </cell>
          <cell r="D45" t="str">
            <v>No</v>
          </cell>
          <cell r="F45">
            <v>189</v>
          </cell>
          <cell r="G45">
            <v>0</v>
          </cell>
          <cell r="H45">
            <v>0</v>
          </cell>
          <cell r="I45">
            <v>189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Z45">
            <v>189</v>
          </cell>
          <cell r="AA45">
            <v>0</v>
          </cell>
          <cell r="AB45">
            <v>0</v>
          </cell>
          <cell r="AC45">
            <v>189</v>
          </cell>
          <cell r="AE45">
            <v>0.21164021164021199</v>
          </cell>
          <cell r="AF45">
            <v>0</v>
          </cell>
          <cell r="AG45">
            <v>0.18446601941747601</v>
          </cell>
          <cell r="AH45">
            <v>6.2893081761006301E-3</v>
          </cell>
          <cell r="AI45">
            <v>4.2328042328042298E-2</v>
          </cell>
          <cell r="AK45">
            <v>40.000000000000064</v>
          </cell>
          <cell r="AL45">
            <v>0</v>
          </cell>
          <cell r="AM45">
            <v>34.864077669902969</v>
          </cell>
          <cell r="AN45">
            <v>1.188679245283019</v>
          </cell>
          <cell r="AO45">
            <v>7.9999999999999947</v>
          </cell>
          <cell r="AQ45" t="str">
            <v>VA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X45" t="str">
            <v>No</v>
          </cell>
          <cell r="AY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666820.64959271764</v>
          </cell>
          <cell r="BE45">
            <v>0</v>
          </cell>
          <cell r="BF45">
            <v>0</v>
          </cell>
        </row>
        <row r="46">
          <cell r="A46">
            <v>3002</v>
          </cell>
          <cell r="B46" t="str">
            <v>St. Barnabas' CE Primary</v>
          </cell>
          <cell r="D46" t="str">
            <v>No</v>
          </cell>
          <cell r="F46">
            <v>145</v>
          </cell>
          <cell r="G46">
            <v>0</v>
          </cell>
          <cell r="H46">
            <v>0</v>
          </cell>
          <cell r="I46">
            <v>145</v>
          </cell>
          <cell r="K46">
            <v>1</v>
          </cell>
          <cell r="L46">
            <v>0</v>
          </cell>
          <cell r="M46">
            <v>0</v>
          </cell>
          <cell r="N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Z46">
            <v>146</v>
          </cell>
          <cell r="AA46">
            <v>0</v>
          </cell>
          <cell r="AB46">
            <v>0</v>
          </cell>
          <cell r="AC46">
            <v>146</v>
          </cell>
          <cell r="AE46">
            <v>0.15862068965517201</v>
          </cell>
          <cell r="AF46">
            <v>0</v>
          </cell>
          <cell r="AG46">
            <v>0.28409090909090901</v>
          </cell>
          <cell r="AH46">
            <v>8.0645161290322606E-2</v>
          </cell>
          <cell r="AI46">
            <v>8.2758620689655199E-2</v>
          </cell>
          <cell r="AK46">
            <v>23.158620689655113</v>
          </cell>
          <cell r="AL46">
            <v>0</v>
          </cell>
          <cell r="AM46">
            <v>41.477272727272712</v>
          </cell>
          <cell r="AN46">
            <v>11.7741935483871</v>
          </cell>
          <cell r="AO46">
            <v>12.08275862068966</v>
          </cell>
          <cell r="AQ46" t="str">
            <v>VC</v>
          </cell>
          <cell r="AR46">
            <v>18950</v>
          </cell>
          <cell r="AS46">
            <v>0</v>
          </cell>
          <cell r="AT46">
            <v>0</v>
          </cell>
          <cell r="AU46">
            <v>0</v>
          </cell>
          <cell r="AV46">
            <v>18950</v>
          </cell>
          <cell r="AX46" t="str">
            <v>Yes</v>
          </cell>
          <cell r="AY46">
            <v>168805</v>
          </cell>
          <cell r="BA46">
            <v>0</v>
          </cell>
          <cell r="BB46">
            <v>0</v>
          </cell>
          <cell r="BC46">
            <v>0</v>
          </cell>
          <cell r="BD46">
            <v>748833.50253561186</v>
          </cell>
          <cell r="BE46">
            <v>0</v>
          </cell>
          <cell r="BF46">
            <v>0</v>
          </cell>
        </row>
        <row r="47">
          <cell r="A47">
            <v>3402</v>
          </cell>
          <cell r="B47" t="str">
            <v>St. George's RC Primary</v>
          </cell>
          <cell r="D47" t="str">
            <v>No</v>
          </cell>
          <cell r="F47">
            <v>176</v>
          </cell>
          <cell r="G47">
            <v>0</v>
          </cell>
          <cell r="H47">
            <v>0</v>
          </cell>
          <cell r="I47">
            <v>176</v>
          </cell>
          <cell r="K47">
            <v>2</v>
          </cell>
          <cell r="L47">
            <v>0</v>
          </cell>
          <cell r="M47">
            <v>0</v>
          </cell>
          <cell r="N47">
            <v>2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Z47">
            <v>178</v>
          </cell>
          <cell r="AA47">
            <v>0</v>
          </cell>
          <cell r="AB47">
            <v>0</v>
          </cell>
          <cell r="AC47">
            <v>178</v>
          </cell>
          <cell r="AE47">
            <v>0.170454545454545</v>
          </cell>
          <cell r="AF47">
            <v>1.1363636363636364E-2</v>
          </cell>
          <cell r="AG47">
            <v>0.27659574468085102</v>
          </cell>
          <cell r="AH47">
            <v>0.201298701298701</v>
          </cell>
          <cell r="AI47">
            <v>0.204545454545455</v>
          </cell>
          <cell r="AK47">
            <v>30.340909090909008</v>
          </cell>
          <cell r="AL47">
            <v>2.0227272727272729</v>
          </cell>
          <cell r="AM47">
            <v>49.234042553191479</v>
          </cell>
          <cell r="AN47">
            <v>35.831168831168782</v>
          </cell>
          <cell r="AO47">
            <v>36.409090909090992</v>
          </cell>
          <cell r="AQ47" t="str">
            <v>VA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X47" t="str">
            <v>No</v>
          </cell>
          <cell r="AY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720848.41938324517</v>
          </cell>
          <cell r="BE47">
            <v>0</v>
          </cell>
          <cell r="BF47">
            <v>0</v>
          </cell>
        </row>
        <row r="48">
          <cell r="A48">
            <v>3305</v>
          </cell>
          <cell r="B48" t="str">
            <v>St. Lawrence's CE Primary</v>
          </cell>
          <cell r="D48" t="str">
            <v>No</v>
          </cell>
          <cell r="F48">
            <v>188</v>
          </cell>
          <cell r="G48">
            <v>0</v>
          </cell>
          <cell r="H48">
            <v>0</v>
          </cell>
          <cell r="I48">
            <v>188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Z48">
            <v>188</v>
          </cell>
          <cell r="AA48">
            <v>0</v>
          </cell>
          <cell r="AB48">
            <v>0</v>
          </cell>
          <cell r="AC48">
            <v>188</v>
          </cell>
          <cell r="AE48">
            <v>0.26595744680851102</v>
          </cell>
          <cell r="AF48">
            <v>0</v>
          </cell>
          <cell r="AG48">
            <v>0.29523809523809502</v>
          </cell>
          <cell r="AH48">
            <v>0.139240506329114</v>
          </cell>
          <cell r="AI48">
            <v>8.5106382978723402E-2</v>
          </cell>
          <cell r="AK48">
            <v>50.000000000000071</v>
          </cell>
          <cell r="AL48">
            <v>0</v>
          </cell>
          <cell r="AM48">
            <v>55.504761904761864</v>
          </cell>
          <cell r="AN48">
            <v>26.177215189873433</v>
          </cell>
          <cell r="AO48">
            <v>16</v>
          </cell>
          <cell r="AQ48" t="str">
            <v>VA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X48" t="str">
            <v>No</v>
          </cell>
          <cell r="AY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784784.68160104984</v>
          </cell>
          <cell r="BE48">
            <v>0</v>
          </cell>
          <cell r="BF48">
            <v>0</v>
          </cell>
        </row>
        <row r="49">
          <cell r="A49">
            <v>3222</v>
          </cell>
          <cell r="B49" t="str">
            <v>St. Mary's CE Primary</v>
          </cell>
          <cell r="D49" t="str">
            <v>No</v>
          </cell>
          <cell r="F49">
            <v>106</v>
          </cell>
          <cell r="G49">
            <v>0</v>
          </cell>
          <cell r="H49">
            <v>0</v>
          </cell>
          <cell r="I49">
            <v>106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Z49">
            <v>106</v>
          </cell>
          <cell r="AA49">
            <v>0</v>
          </cell>
          <cell r="AB49">
            <v>0</v>
          </cell>
          <cell r="AC49">
            <v>106</v>
          </cell>
          <cell r="AE49">
            <v>2.83018867924528E-2</v>
          </cell>
          <cell r="AF49">
            <v>0</v>
          </cell>
          <cell r="AG49">
            <v>0.13559322033898299</v>
          </cell>
          <cell r="AH49">
            <v>0</v>
          </cell>
          <cell r="AI49">
            <v>9.4339622641509396E-3</v>
          </cell>
          <cell r="AK49">
            <v>2.9999999999999969</v>
          </cell>
          <cell r="AL49">
            <v>0</v>
          </cell>
          <cell r="AM49">
            <v>14.372881355932197</v>
          </cell>
          <cell r="AN49">
            <v>0</v>
          </cell>
          <cell r="AO49">
            <v>0.99999999999999956</v>
          </cell>
          <cell r="AQ49" t="str">
            <v>VC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X49" t="str">
            <v>No</v>
          </cell>
          <cell r="AY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427473.17453363608</v>
          </cell>
          <cell r="BE49">
            <v>0</v>
          </cell>
          <cell r="BF49">
            <v>0</v>
          </cell>
        </row>
        <row r="50">
          <cell r="A50">
            <v>3156</v>
          </cell>
          <cell r="B50" t="str">
            <v>St. Oswald's CE Primary</v>
          </cell>
          <cell r="D50" t="str">
            <v>No</v>
          </cell>
          <cell r="F50">
            <v>291</v>
          </cell>
          <cell r="G50">
            <v>0</v>
          </cell>
          <cell r="H50">
            <v>0</v>
          </cell>
          <cell r="I50">
            <v>291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P50">
            <v>-10</v>
          </cell>
          <cell r="Q50">
            <v>0</v>
          </cell>
          <cell r="R50">
            <v>0</v>
          </cell>
          <cell r="S50">
            <v>-10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Z50">
            <v>281</v>
          </cell>
          <cell r="AA50">
            <v>0</v>
          </cell>
          <cell r="AB50">
            <v>0</v>
          </cell>
          <cell r="AC50">
            <v>281</v>
          </cell>
          <cell r="AE50">
            <v>5.8419243986254303E-2</v>
          </cell>
          <cell r="AF50">
            <v>0</v>
          </cell>
          <cell r="AG50">
            <v>0.17218543046357601</v>
          </cell>
          <cell r="AH50">
            <v>8.4677419354838704E-2</v>
          </cell>
          <cell r="AI50">
            <v>7.2164948453608199E-2</v>
          </cell>
          <cell r="AK50">
            <v>16.415807560137459</v>
          </cell>
          <cell r="AL50">
            <v>0</v>
          </cell>
          <cell r="AM50">
            <v>48.384105960264861</v>
          </cell>
          <cell r="AN50">
            <v>23.794354838709676</v>
          </cell>
          <cell r="AO50">
            <v>20.278350515463902</v>
          </cell>
          <cell r="AQ50" t="str">
            <v>VC</v>
          </cell>
          <cell r="AR50">
            <v>40742</v>
          </cell>
          <cell r="AS50">
            <v>0</v>
          </cell>
          <cell r="AT50">
            <v>0</v>
          </cell>
          <cell r="AU50">
            <v>0</v>
          </cell>
          <cell r="AV50">
            <v>40742</v>
          </cell>
          <cell r="AX50" t="str">
            <v>Yes</v>
          </cell>
          <cell r="AY50">
            <v>254547</v>
          </cell>
          <cell r="BA50">
            <v>0</v>
          </cell>
          <cell r="BB50">
            <v>0</v>
          </cell>
          <cell r="BC50">
            <v>0</v>
          </cell>
          <cell r="BD50">
            <v>1138690.4249333334</v>
          </cell>
          <cell r="BE50">
            <v>0</v>
          </cell>
          <cell r="BF50">
            <v>0</v>
          </cell>
        </row>
        <row r="51">
          <cell r="A51">
            <v>3003</v>
          </cell>
          <cell r="B51" t="str">
            <v>St. Paul's CE Primary</v>
          </cell>
          <cell r="D51" t="str">
            <v>No</v>
          </cell>
          <cell r="F51">
            <v>166</v>
          </cell>
          <cell r="G51">
            <v>0</v>
          </cell>
          <cell r="H51">
            <v>0</v>
          </cell>
          <cell r="I51">
            <v>166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Z51">
            <v>166</v>
          </cell>
          <cell r="AA51">
            <v>0</v>
          </cell>
          <cell r="AB51">
            <v>0</v>
          </cell>
          <cell r="AC51">
            <v>166</v>
          </cell>
          <cell r="AE51">
            <v>3.0120481927710802E-2</v>
          </cell>
          <cell r="AF51">
            <v>0</v>
          </cell>
          <cell r="AG51">
            <v>5.4945054945054903E-2</v>
          </cell>
          <cell r="AH51">
            <v>1.41843971631206E-2</v>
          </cell>
          <cell r="AI51">
            <v>3.6144578313252997E-2</v>
          </cell>
          <cell r="AK51">
            <v>4.9999999999999929</v>
          </cell>
          <cell r="AL51">
            <v>0</v>
          </cell>
          <cell r="AM51">
            <v>9.1208791208791133</v>
          </cell>
          <cell r="AN51">
            <v>2.3546099290780198</v>
          </cell>
          <cell r="AO51">
            <v>5.9999999999999973</v>
          </cell>
          <cell r="AQ51" t="str">
            <v>VC</v>
          </cell>
          <cell r="AR51">
            <v>4967</v>
          </cell>
          <cell r="AS51">
            <v>0</v>
          </cell>
          <cell r="AT51">
            <v>0</v>
          </cell>
          <cell r="AU51">
            <v>0</v>
          </cell>
          <cell r="AV51">
            <v>4967</v>
          </cell>
          <cell r="AX51" t="str">
            <v>No</v>
          </cell>
          <cell r="AY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579514.21491076297</v>
          </cell>
          <cell r="BE51">
            <v>0</v>
          </cell>
          <cell r="BF51">
            <v>0</v>
          </cell>
        </row>
        <row r="52">
          <cell r="A52">
            <v>3403</v>
          </cell>
          <cell r="B52" t="str">
            <v>St. Wilfrid's RC Primary</v>
          </cell>
          <cell r="D52" t="str">
            <v>No</v>
          </cell>
          <cell r="F52">
            <v>263</v>
          </cell>
          <cell r="G52">
            <v>0</v>
          </cell>
          <cell r="H52">
            <v>0</v>
          </cell>
          <cell r="I52">
            <v>263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Z52">
            <v>263</v>
          </cell>
          <cell r="AA52">
            <v>0</v>
          </cell>
          <cell r="AB52">
            <v>0</v>
          </cell>
          <cell r="AC52">
            <v>263</v>
          </cell>
          <cell r="AE52">
            <v>8.7452471482889704E-2</v>
          </cell>
          <cell r="AF52">
            <v>3.8167938931297708E-3</v>
          </cell>
          <cell r="AG52">
            <v>0.205298013245033</v>
          </cell>
          <cell r="AH52">
            <v>8.8888888888888906E-2</v>
          </cell>
          <cell r="AI52">
            <v>3.4220532319391601E-2</v>
          </cell>
          <cell r="AK52">
            <v>22.999999999999993</v>
          </cell>
          <cell r="AL52">
            <v>1.0038167938931297</v>
          </cell>
          <cell r="AM52">
            <v>53.99337748344368</v>
          </cell>
          <cell r="AN52">
            <v>23.377777777777784</v>
          </cell>
          <cell r="AO52">
            <v>8.9999999999999911</v>
          </cell>
          <cell r="AQ52" t="str">
            <v>VA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X52" t="str">
            <v>No</v>
          </cell>
          <cell r="AY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879776.43521392124</v>
          </cell>
          <cell r="BE52">
            <v>0</v>
          </cell>
          <cell r="BF52">
            <v>0</v>
          </cell>
        </row>
        <row r="53">
          <cell r="A53">
            <v>2227</v>
          </cell>
          <cell r="B53" t="str">
            <v>Stockton on the Forest Primary</v>
          </cell>
          <cell r="D53" t="str">
            <v>No</v>
          </cell>
          <cell r="F53">
            <v>70</v>
          </cell>
          <cell r="G53">
            <v>0</v>
          </cell>
          <cell r="H53">
            <v>0</v>
          </cell>
          <cell r="I53">
            <v>70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Z53">
            <v>70</v>
          </cell>
          <cell r="AA53">
            <v>0</v>
          </cell>
          <cell r="AB53">
            <v>0</v>
          </cell>
          <cell r="AC53">
            <v>70</v>
          </cell>
          <cell r="AE53">
            <v>5.7142857142857099E-2</v>
          </cell>
          <cell r="AF53">
            <v>3.125E-2</v>
          </cell>
          <cell r="AG53">
            <v>0.25581395348837199</v>
          </cell>
          <cell r="AH53">
            <v>0</v>
          </cell>
          <cell r="AI53">
            <v>8.5714285714285701E-2</v>
          </cell>
          <cell r="AK53">
            <v>3.9999999999999969</v>
          </cell>
          <cell r="AL53">
            <v>2.1875</v>
          </cell>
          <cell r="AM53">
            <v>17.906976744186039</v>
          </cell>
          <cell r="AN53">
            <v>0</v>
          </cell>
          <cell r="AO53">
            <v>5.9999999999999991</v>
          </cell>
          <cell r="AQ53" t="str">
            <v>C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X53" t="str">
            <v>No</v>
          </cell>
          <cell r="AY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364498.81051583128</v>
          </cell>
          <cell r="BE53">
            <v>0</v>
          </cell>
          <cell r="BF53">
            <v>0</v>
          </cell>
        </row>
        <row r="54">
          <cell r="A54">
            <v>2429</v>
          </cell>
          <cell r="B54" t="str">
            <v>Tang Hall Primary</v>
          </cell>
          <cell r="D54" t="str">
            <v>No</v>
          </cell>
          <cell r="F54">
            <v>138</v>
          </cell>
          <cell r="G54">
            <v>0</v>
          </cell>
          <cell r="H54">
            <v>0</v>
          </cell>
          <cell r="I54">
            <v>138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Z54">
            <v>138</v>
          </cell>
          <cell r="AA54">
            <v>0</v>
          </cell>
          <cell r="AB54">
            <v>0</v>
          </cell>
          <cell r="AC54">
            <v>138</v>
          </cell>
          <cell r="AE54">
            <v>0.42753623188405798</v>
          </cell>
          <cell r="AF54">
            <v>2.3809523809523808E-2</v>
          </cell>
          <cell r="AG54">
            <v>0.30434782608695699</v>
          </cell>
          <cell r="AH54">
            <v>5.4054054054054099E-2</v>
          </cell>
          <cell r="AI54">
            <v>0.123188405797101</v>
          </cell>
          <cell r="AK54">
            <v>59</v>
          </cell>
          <cell r="AL54">
            <v>3.2857142857142856</v>
          </cell>
          <cell r="AM54">
            <v>42.000000000000064</v>
          </cell>
          <cell r="AN54">
            <v>7.4594594594594659</v>
          </cell>
          <cell r="AO54">
            <v>16.999999999999936</v>
          </cell>
          <cell r="AQ54" t="str">
            <v>C</v>
          </cell>
          <cell r="AR54">
            <v>18272</v>
          </cell>
          <cell r="AS54">
            <v>0</v>
          </cell>
          <cell r="AT54">
            <v>4759</v>
          </cell>
          <cell r="AU54" t="str">
            <v>Children's Centre</v>
          </cell>
          <cell r="AV54">
            <v>13513</v>
          </cell>
          <cell r="AX54" t="str">
            <v>No</v>
          </cell>
          <cell r="AY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688840.89266409271</v>
          </cell>
          <cell r="BE54">
            <v>0</v>
          </cell>
          <cell r="BF54">
            <v>0</v>
          </cell>
        </row>
        <row r="55">
          <cell r="A55">
            <v>2017</v>
          </cell>
          <cell r="B55" t="str">
            <v>Westfield Primary</v>
          </cell>
          <cell r="D55" t="str">
            <v>No</v>
          </cell>
          <cell r="F55">
            <v>491</v>
          </cell>
          <cell r="G55">
            <v>0</v>
          </cell>
          <cell r="H55">
            <v>0</v>
          </cell>
          <cell r="I55">
            <v>491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Z55">
            <v>491</v>
          </cell>
          <cell r="AA55">
            <v>0</v>
          </cell>
          <cell r="AB55">
            <v>0</v>
          </cell>
          <cell r="AC55">
            <v>491</v>
          </cell>
          <cell r="AE55">
            <v>0.25254582484725102</v>
          </cell>
          <cell r="AF55">
            <v>1.9920318725099601E-3</v>
          </cell>
          <cell r="AG55">
            <v>0.46959459459459502</v>
          </cell>
          <cell r="AH55">
            <v>7.14285714285714E-3</v>
          </cell>
          <cell r="AI55">
            <v>5.4989816700610997E-2</v>
          </cell>
          <cell r="AK55">
            <v>124.00000000000026</v>
          </cell>
          <cell r="AL55">
            <v>0.97808764940239046</v>
          </cell>
          <cell r="AM55">
            <v>230.57094594594616</v>
          </cell>
          <cell r="AN55">
            <v>3.5071428571428558</v>
          </cell>
          <cell r="AO55">
            <v>27</v>
          </cell>
          <cell r="AQ55" t="str">
            <v>C</v>
          </cell>
          <cell r="AR55">
            <v>28731</v>
          </cell>
          <cell r="AS55">
            <v>0</v>
          </cell>
          <cell r="AT55">
            <v>1246</v>
          </cell>
          <cell r="AU55" t="str">
            <v>Children's Centre</v>
          </cell>
          <cell r="AV55">
            <v>27485</v>
          </cell>
          <cell r="AX55" t="str">
            <v>No</v>
          </cell>
          <cell r="AY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1751029.6982134641</v>
          </cell>
          <cell r="BE55">
            <v>0</v>
          </cell>
          <cell r="BF55">
            <v>0</v>
          </cell>
        </row>
        <row r="56">
          <cell r="A56">
            <v>3380</v>
          </cell>
          <cell r="B56" t="str">
            <v>Wheldrake CE Primary</v>
          </cell>
          <cell r="D56" t="str">
            <v>No</v>
          </cell>
          <cell r="F56">
            <v>216</v>
          </cell>
          <cell r="G56">
            <v>0</v>
          </cell>
          <cell r="H56">
            <v>0</v>
          </cell>
          <cell r="I56">
            <v>216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Z56">
            <v>216</v>
          </cell>
          <cell r="AA56">
            <v>0</v>
          </cell>
          <cell r="AB56">
            <v>0</v>
          </cell>
          <cell r="AC56">
            <v>216</v>
          </cell>
          <cell r="AE56">
            <v>3.2407407407407399E-2</v>
          </cell>
          <cell r="AF56">
            <v>0</v>
          </cell>
          <cell r="AG56">
            <v>5.7851239669421503E-2</v>
          </cell>
          <cell r="AH56">
            <v>1.0928961748633901E-2</v>
          </cell>
          <cell r="AI56">
            <v>7.8703703703703706E-2</v>
          </cell>
          <cell r="AK56">
            <v>6.9999999999999982</v>
          </cell>
          <cell r="AL56">
            <v>0</v>
          </cell>
          <cell r="AM56">
            <v>12.495867768595044</v>
          </cell>
          <cell r="AN56">
            <v>2.3606557377049224</v>
          </cell>
          <cell r="AO56">
            <v>17</v>
          </cell>
          <cell r="AQ56" t="str">
            <v>VA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X56" t="str">
            <v>No</v>
          </cell>
          <cell r="AY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690674.51861807343</v>
          </cell>
          <cell r="BE56">
            <v>0</v>
          </cell>
          <cell r="BF56">
            <v>0</v>
          </cell>
        </row>
        <row r="57">
          <cell r="A57">
            <v>2240</v>
          </cell>
          <cell r="B57" t="str">
            <v>Wigginton Primary</v>
          </cell>
          <cell r="D57" t="str">
            <v>No</v>
          </cell>
          <cell r="F57">
            <v>275</v>
          </cell>
          <cell r="G57">
            <v>0</v>
          </cell>
          <cell r="H57">
            <v>0</v>
          </cell>
          <cell r="I57">
            <v>275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Z57">
            <v>275</v>
          </cell>
          <cell r="AA57">
            <v>0</v>
          </cell>
          <cell r="AB57">
            <v>0</v>
          </cell>
          <cell r="AC57">
            <v>275</v>
          </cell>
          <cell r="AE57">
            <v>2.1818181818181799E-2</v>
          </cell>
          <cell r="AF57">
            <v>0</v>
          </cell>
          <cell r="AG57">
            <v>0.125748502994012</v>
          </cell>
          <cell r="AH57">
            <v>0</v>
          </cell>
          <cell r="AI57">
            <v>7.2727272727272696E-2</v>
          </cell>
          <cell r="AK57">
            <v>5.9999999999999947</v>
          </cell>
          <cell r="AL57">
            <v>0</v>
          </cell>
          <cell r="AM57">
            <v>34.580838323353298</v>
          </cell>
          <cell r="AN57">
            <v>0</v>
          </cell>
          <cell r="AO57">
            <v>19.999999999999993</v>
          </cell>
          <cell r="AQ57" t="str">
            <v>C</v>
          </cell>
          <cell r="AR57">
            <v>11069</v>
          </cell>
          <cell r="AS57">
            <v>0</v>
          </cell>
          <cell r="AT57">
            <v>0</v>
          </cell>
          <cell r="AU57">
            <v>0</v>
          </cell>
          <cell r="AV57">
            <v>11069</v>
          </cell>
          <cell r="AX57" t="str">
            <v>No</v>
          </cell>
          <cell r="AY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852988.98646706587</v>
          </cell>
          <cell r="BE57">
            <v>0</v>
          </cell>
          <cell r="BF57">
            <v>0</v>
          </cell>
        </row>
        <row r="58">
          <cell r="A58">
            <v>2027</v>
          </cell>
          <cell r="B58" t="str">
            <v>Woodthorpe Primary</v>
          </cell>
          <cell r="D58" t="str">
            <v>No</v>
          </cell>
          <cell r="F58">
            <v>356</v>
          </cell>
          <cell r="G58">
            <v>0</v>
          </cell>
          <cell r="H58">
            <v>0</v>
          </cell>
          <cell r="I58">
            <v>356</v>
          </cell>
          <cell r="K58">
            <v>1</v>
          </cell>
          <cell r="L58">
            <v>0</v>
          </cell>
          <cell r="M58">
            <v>0</v>
          </cell>
          <cell r="N58">
            <v>1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Z58">
            <v>357</v>
          </cell>
          <cell r="AA58">
            <v>0</v>
          </cell>
          <cell r="AB58">
            <v>0</v>
          </cell>
          <cell r="AC58">
            <v>357</v>
          </cell>
          <cell r="AE58">
            <v>0.19382022471910099</v>
          </cell>
          <cell r="AF58">
            <v>1.3850415512465374E-2</v>
          </cell>
          <cell r="AG58">
            <v>0.21890547263681601</v>
          </cell>
          <cell r="AH58">
            <v>1.3605442176870699E-2</v>
          </cell>
          <cell r="AI58">
            <v>6.4606741573033699E-2</v>
          </cell>
          <cell r="AK58">
            <v>69.193820224719047</v>
          </cell>
          <cell r="AL58">
            <v>4.9445983379501381</v>
          </cell>
          <cell r="AM58">
            <v>78.149253731343308</v>
          </cell>
          <cell r="AN58">
            <v>4.8571428571428399</v>
          </cell>
          <cell r="AO58">
            <v>23.06460674157303</v>
          </cell>
          <cell r="AQ58" t="str">
            <v>C</v>
          </cell>
          <cell r="AR58">
            <v>24492</v>
          </cell>
          <cell r="AS58">
            <v>0</v>
          </cell>
          <cell r="AT58">
            <v>0</v>
          </cell>
          <cell r="AU58">
            <v>0</v>
          </cell>
          <cell r="AV58">
            <v>24492</v>
          </cell>
          <cell r="AX58" t="str">
            <v>No</v>
          </cell>
          <cell r="AY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1230794.0602167554</v>
          </cell>
          <cell r="BE58">
            <v>0</v>
          </cell>
          <cell r="BF58">
            <v>0</v>
          </cell>
        </row>
        <row r="59">
          <cell r="A59">
            <v>2015</v>
          </cell>
          <cell r="B59" t="str">
            <v>Yearsley Grove Primary</v>
          </cell>
          <cell r="D59" t="str">
            <v>No</v>
          </cell>
          <cell r="F59">
            <v>287</v>
          </cell>
          <cell r="G59">
            <v>0</v>
          </cell>
          <cell r="H59">
            <v>0</v>
          </cell>
          <cell r="I59">
            <v>287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Z59">
            <v>287</v>
          </cell>
          <cell r="AA59">
            <v>0</v>
          </cell>
          <cell r="AB59">
            <v>0</v>
          </cell>
          <cell r="AC59">
            <v>287</v>
          </cell>
          <cell r="AE59">
            <v>0.229965156794425</v>
          </cell>
          <cell r="AF59">
            <v>1.0830324909747292E-2</v>
          </cell>
          <cell r="AG59">
            <v>0.185393258426966</v>
          </cell>
          <cell r="AH59">
            <v>2.4896265560166001E-2</v>
          </cell>
          <cell r="AI59">
            <v>4.1811846689895502E-2</v>
          </cell>
          <cell r="AK59">
            <v>65.999999999999972</v>
          </cell>
          <cell r="AL59">
            <v>3.1083032490974727</v>
          </cell>
          <cell r="AM59">
            <v>53.207865168539243</v>
          </cell>
          <cell r="AN59">
            <v>7.1452282157676423</v>
          </cell>
          <cell r="AO59">
            <v>12.000000000000009</v>
          </cell>
          <cell r="AQ59" t="str">
            <v>C</v>
          </cell>
          <cell r="AR59">
            <v>19429</v>
          </cell>
          <cell r="AS59">
            <v>0</v>
          </cell>
          <cell r="AT59">
            <v>0</v>
          </cell>
          <cell r="AU59">
            <v>0</v>
          </cell>
          <cell r="AV59">
            <v>19429</v>
          </cell>
          <cell r="AX59" t="str">
            <v>No</v>
          </cell>
          <cell r="AY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1009464.9246487948</v>
          </cell>
          <cell r="BE59">
            <v>0</v>
          </cell>
          <cell r="BF59">
            <v>0</v>
          </cell>
        </row>
        <row r="60">
          <cell r="D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X60">
            <v>0</v>
          </cell>
          <cell r="AY60">
            <v>0</v>
          </cell>
          <cell r="BA60">
            <v>0</v>
          </cell>
          <cell r="BB60">
            <v>0</v>
          </cell>
          <cell r="BD60">
            <v>0</v>
          </cell>
          <cell r="BF60">
            <v>0</v>
          </cell>
        </row>
        <row r="61">
          <cell r="B61" t="str">
            <v>Primary Schools Total</v>
          </cell>
          <cell r="C61">
            <v>0</v>
          </cell>
          <cell r="D61">
            <v>0</v>
          </cell>
          <cell r="E61">
            <v>0</v>
          </cell>
          <cell r="F61">
            <v>12808</v>
          </cell>
          <cell r="G61">
            <v>0</v>
          </cell>
          <cell r="H61">
            <v>0</v>
          </cell>
          <cell r="I61">
            <v>12808</v>
          </cell>
          <cell r="J61">
            <v>0</v>
          </cell>
          <cell r="K61">
            <v>36</v>
          </cell>
          <cell r="L61">
            <v>0</v>
          </cell>
          <cell r="M61">
            <v>0</v>
          </cell>
          <cell r="N61">
            <v>36</v>
          </cell>
          <cell r="O61">
            <v>0</v>
          </cell>
          <cell r="P61">
            <v>-36</v>
          </cell>
          <cell r="Q61">
            <v>0</v>
          </cell>
          <cell r="R61">
            <v>0</v>
          </cell>
          <cell r="S61">
            <v>-36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12808</v>
          </cell>
          <cell r="AA61">
            <v>0</v>
          </cell>
          <cell r="AB61">
            <v>0</v>
          </cell>
          <cell r="AC61">
            <v>12808</v>
          </cell>
          <cell r="AD61">
            <v>0</v>
          </cell>
          <cell r="AE61">
            <v>0.12000210551867076</v>
          </cell>
          <cell r="AF61">
            <v>4.5951248616509675E-3</v>
          </cell>
          <cell r="AG61">
            <v>0.18148615091719764</v>
          </cell>
          <cell r="AH61">
            <v>3.7363283000255862E-2</v>
          </cell>
          <cell r="AI61">
            <v>6.7114448865287529E-2</v>
          </cell>
          <cell r="AJ61">
            <v>0</v>
          </cell>
          <cell r="AK61">
            <v>1536.986967483135</v>
          </cell>
          <cell r="AL61">
            <v>58.854359228025594</v>
          </cell>
          <cell r="AM61">
            <v>2324.4746209474674</v>
          </cell>
          <cell r="AN61">
            <v>478.54892866727704</v>
          </cell>
          <cell r="AO61">
            <v>859.60186106660274</v>
          </cell>
          <cell r="AP61">
            <v>0</v>
          </cell>
          <cell r="AQ61">
            <v>0</v>
          </cell>
          <cell r="AR61">
            <v>662076</v>
          </cell>
          <cell r="AS61">
            <v>0</v>
          </cell>
          <cell r="AT61">
            <v>11688</v>
          </cell>
          <cell r="AU61">
            <v>0</v>
          </cell>
          <cell r="AV61">
            <v>650388</v>
          </cell>
          <cell r="AW61">
            <v>0</v>
          </cell>
          <cell r="AX61">
            <v>3</v>
          </cell>
          <cell r="AY61">
            <v>605363</v>
          </cell>
          <cell r="BA61">
            <v>0</v>
          </cell>
          <cell r="BB61">
            <v>0</v>
          </cell>
          <cell r="BC61">
            <v>0</v>
          </cell>
          <cell r="BD61">
            <v>45261550.014374755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</row>
        <row r="62">
          <cell r="B62" t="str">
            <v>SECONDARY SCHOOLS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X62">
            <v>0</v>
          </cell>
          <cell r="AY62">
            <v>0</v>
          </cell>
          <cell r="BA62">
            <v>0</v>
          </cell>
          <cell r="BB62">
            <v>0</v>
          </cell>
          <cell r="BD62">
            <v>0</v>
          </cell>
          <cell r="BF62">
            <v>0</v>
          </cell>
        </row>
        <row r="63">
          <cell r="A63">
            <v>4702</v>
          </cell>
          <cell r="B63" t="str">
            <v>All Saints’ RC School</v>
          </cell>
          <cell r="D63" t="str">
            <v>No</v>
          </cell>
          <cell r="F63">
            <v>0</v>
          </cell>
          <cell r="G63">
            <v>508</v>
          </cell>
          <cell r="H63">
            <v>371</v>
          </cell>
          <cell r="I63">
            <v>879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Z63">
            <v>0</v>
          </cell>
          <cell r="AA63">
            <v>508</v>
          </cell>
          <cell r="AB63">
            <v>371</v>
          </cell>
          <cell r="AC63">
            <v>879</v>
          </cell>
          <cell r="AE63">
            <v>6.0295790671217299E-2</v>
          </cell>
          <cell r="AF63">
            <v>2.2197558268590455E-3</v>
          </cell>
          <cell r="AG63">
            <v>5.8465286236297202E-2</v>
          </cell>
          <cell r="AH63">
            <v>1.7543859649122799E-2</v>
          </cell>
          <cell r="AI63">
            <v>2.0477815699658699E-2</v>
          </cell>
          <cell r="AK63">
            <v>53.000000000000007</v>
          </cell>
          <cell r="AL63">
            <v>1.9511653718091011</v>
          </cell>
          <cell r="AM63">
            <v>51.390986601705244</v>
          </cell>
          <cell r="AN63">
            <v>15.42105263157894</v>
          </cell>
          <cell r="AO63">
            <v>17.999999999999996</v>
          </cell>
          <cell r="AQ63" t="str">
            <v>VA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X63" t="str">
            <v>No</v>
          </cell>
          <cell r="AY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3964529.5533627369</v>
          </cell>
          <cell r="BE63">
            <v>0</v>
          </cell>
          <cell r="BF63">
            <v>0</v>
          </cell>
        </row>
        <row r="64">
          <cell r="A64">
            <v>4500</v>
          </cell>
          <cell r="B64" t="str">
            <v>Archbishop Holgate's CE School</v>
          </cell>
          <cell r="D64" t="str">
            <v>Yes</v>
          </cell>
          <cell r="F64">
            <v>0</v>
          </cell>
          <cell r="G64">
            <v>522</v>
          </cell>
          <cell r="H64">
            <v>314</v>
          </cell>
          <cell r="I64">
            <v>836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Z64">
            <v>0</v>
          </cell>
          <cell r="AA64">
            <v>522</v>
          </cell>
          <cell r="AB64">
            <v>314</v>
          </cell>
          <cell r="AC64">
            <v>836</v>
          </cell>
          <cell r="AE64">
            <v>9.44976076555024E-2</v>
          </cell>
          <cell r="AF64">
            <v>8.7390761548064924E-3</v>
          </cell>
          <cell r="AG64">
            <v>8.3854818523153907E-2</v>
          </cell>
          <cell r="AH64">
            <v>7.1770334928229701E-3</v>
          </cell>
          <cell r="AI64">
            <v>2.9904306220095701E-2</v>
          </cell>
          <cell r="AK64">
            <v>79</v>
          </cell>
          <cell r="AL64">
            <v>7.3058676654182273</v>
          </cell>
          <cell r="AM64">
            <v>70.102628285356673</v>
          </cell>
          <cell r="AN64">
            <v>6.0000000000000027</v>
          </cell>
          <cell r="AO64">
            <v>25.000000000000007</v>
          </cell>
          <cell r="AQ64" t="str">
            <v>VA</v>
          </cell>
          <cell r="AR64">
            <v>25382</v>
          </cell>
          <cell r="AS64">
            <v>0</v>
          </cell>
          <cell r="AT64">
            <v>0</v>
          </cell>
          <cell r="AU64" t="str">
            <v>DRR no longer applied</v>
          </cell>
          <cell r="AV64">
            <v>25382</v>
          </cell>
          <cell r="AX64" t="str">
            <v>No</v>
          </cell>
          <cell r="AY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3883143.122226038</v>
          </cell>
          <cell r="BE64">
            <v>0</v>
          </cell>
          <cell r="BF64">
            <v>0</v>
          </cell>
        </row>
        <row r="65">
          <cell r="A65">
            <v>4227</v>
          </cell>
          <cell r="B65" t="str">
            <v>Burnholme Community College</v>
          </cell>
          <cell r="D65" t="str">
            <v>No</v>
          </cell>
          <cell r="F65">
            <v>0</v>
          </cell>
          <cell r="G65">
            <v>91</v>
          </cell>
          <cell r="H65">
            <v>96</v>
          </cell>
          <cell r="I65">
            <v>187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Z65">
            <v>0</v>
          </cell>
          <cell r="AA65">
            <v>91</v>
          </cell>
          <cell r="AB65">
            <v>96</v>
          </cell>
          <cell r="AC65">
            <v>187</v>
          </cell>
          <cell r="AE65">
            <v>0.27807486631015998</v>
          </cell>
          <cell r="AF65">
            <v>7.0175438596491229E-3</v>
          </cell>
          <cell r="AG65">
            <v>0.238095238095238</v>
          </cell>
          <cell r="AH65">
            <v>2.1390374331550801E-2</v>
          </cell>
          <cell r="AI65">
            <v>8.5561497326203204E-2</v>
          </cell>
          <cell r="AK65">
            <v>51.999999999999915</v>
          </cell>
          <cell r="AL65">
            <v>1.312280701754386</v>
          </cell>
          <cell r="AM65">
            <v>44.523809523809504</v>
          </cell>
          <cell r="AN65">
            <v>3.9999999999999996</v>
          </cell>
          <cell r="AO65">
            <v>15.999999999999998</v>
          </cell>
          <cell r="AQ65" t="str">
            <v>C</v>
          </cell>
          <cell r="AR65">
            <v>51339</v>
          </cell>
          <cell r="AS65">
            <v>0</v>
          </cell>
          <cell r="AT65">
            <v>0</v>
          </cell>
          <cell r="AU65">
            <v>0</v>
          </cell>
          <cell r="AV65">
            <v>51339</v>
          </cell>
          <cell r="AX65" t="str">
            <v>No</v>
          </cell>
          <cell r="AY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1396274.0295943301</v>
          </cell>
          <cell r="BE65">
            <v>0</v>
          </cell>
          <cell r="BF65">
            <v>0</v>
          </cell>
        </row>
        <row r="66">
          <cell r="A66">
            <v>4003</v>
          </cell>
          <cell r="B66" t="str">
            <v>Canon Lee School</v>
          </cell>
          <cell r="D66" t="str">
            <v>No</v>
          </cell>
          <cell r="F66">
            <v>0</v>
          </cell>
          <cell r="G66">
            <v>385</v>
          </cell>
          <cell r="H66">
            <v>325</v>
          </cell>
          <cell r="I66">
            <v>710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Z66">
            <v>0</v>
          </cell>
          <cell r="AA66">
            <v>385</v>
          </cell>
          <cell r="AB66">
            <v>325</v>
          </cell>
          <cell r="AC66">
            <v>710</v>
          </cell>
          <cell r="AE66">
            <v>0.136619718309859</v>
          </cell>
          <cell r="AF66">
            <v>4.11522633744856E-3</v>
          </cell>
          <cell r="AG66">
            <v>0.128093158660844</v>
          </cell>
          <cell r="AH66">
            <v>1.13154172560113E-2</v>
          </cell>
          <cell r="AI66">
            <v>4.2253521126760597E-2</v>
          </cell>
          <cell r="AK66">
            <v>96.999999999999886</v>
          </cell>
          <cell r="AL66">
            <v>2.9218106995884776</v>
          </cell>
          <cell r="AM66">
            <v>90.946142649199246</v>
          </cell>
          <cell r="AN66">
            <v>8.0339462517680236</v>
          </cell>
          <cell r="AO66">
            <v>30.000000000000025</v>
          </cell>
          <cell r="AQ66" t="str">
            <v>C</v>
          </cell>
          <cell r="AR66">
            <v>107859</v>
          </cell>
          <cell r="AS66">
            <v>0</v>
          </cell>
          <cell r="AT66">
            <v>0</v>
          </cell>
          <cell r="AU66">
            <v>0</v>
          </cell>
          <cell r="AV66">
            <v>107859</v>
          </cell>
          <cell r="AX66" t="str">
            <v>No</v>
          </cell>
          <cell r="AY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3490761.5112643242</v>
          </cell>
          <cell r="BE66">
            <v>0</v>
          </cell>
          <cell r="BF66">
            <v>0</v>
          </cell>
        </row>
        <row r="67">
          <cell r="A67">
            <v>4153</v>
          </cell>
          <cell r="B67" t="str">
            <v>Fulford School</v>
          </cell>
          <cell r="D67" t="str">
            <v>No</v>
          </cell>
          <cell r="F67">
            <v>0</v>
          </cell>
          <cell r="G67">
            <v>627</v>
          </cell>
          <cell r="H67">
            <v>404</v>
          </cell>
          <cell r="I67">
            <v>1031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P67">
            <v>0</v>
          </cell>
          <cell r="Q67">
            <v>-6</v>
          </cell>
          <cell r="R67">
            <v>-4</v>
          </cell>
          <cell r="S67">
            <v>-10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Z67">
            <v>0</v>
          </cell>
          <cell r="AA67">
            <v>621</v>
          </cell>
          <cell r="AB67">
            <v>400</v>
          </cell>
          <cell r="AC67">
            <v>1021</v>
          </cell>
          <cell r="AE67">
            <v>3.2007759456838002E-2</v>
          </cell>
          <cell r="AF67">
            <v>1.9323671497584541E-3</v>
          </cell>
          <cell r="AG67">
            <v>5.1051051051051101E-2</v>
          </cell>
          <cell r="AH67">
            <v>8.7378640776698997E-3</v>
          </cell>
          <cell r="AI67">
            <v>2.8128031037827399E-2</v>
          </cell>
          <cell r="AK67">
            <v>32.679922405431597</v>
          </cell>
          <cell r="AL67">
            <v>1.9729468599033817</v>
          </cell>
          <cell r="AM67">
            <v>52.123123123123172</v>
          </cell>
          <cell r="AN67">
            <v>8.9213592233009678</v>
          </cell>
          <cell r="AO67">
            <v>28.718719689621775</v>
          </cell>
          <cell r="AQ67" t="str">
            <v>C</v>
          </cell>
          <cell r="AR67">
            <v>108330</v>
          </cell>
          <cell r="AS67">
            <v>0</v>
          </cell>
          <cell r="AT67">
            <v>0</v>
          </cell>
          <cell r="AU67">
            <v>0</v>
          </cell>
          <cell r="AV67">
            <v>108330</v>
          </cell>
          <cell r="AX67" t="str">
            <v>No</v>
          </cell>
          <cell r="AY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4366495.3394881617</v>
          </cell>
          <cell r="BE67">
            <v>0</v>
          </cell>
          <cell r="BF67">
            <v>0</v>
          </cell>
        </row>
        <row r="68">
          <cell r="A68">
            <v>4063</v>
          </cell>
          <cell r="B68" t="str">
            <v>Huntington School</v>
          </cell>
          <cell r="D68" t="str">
            <v>No</v>
          </cell>
          <cell r="F68">
            <v>0</v>
          </cell>
          <cell r="G68">
            <v>676</v>
          </cell>
          <cell r="H68">
            <v>468</v>
          </cell>
          <cell r="I68">
            <v>1144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Z68">
            <v>0</v>
          </cell>
          <cell r="AA68">
            <v>676</v>
          </cell>
          <cell r="AB68">
            <v>468</v>
          </cell>
          <cell r="AC68">
            <v>1144</v>
          </cell>
          <cell r="AE68">
            <v>8.0419580419580403E-2</v>
          </cell>
          <cell r="AF68">
            <v>2.6132404181184671E-3</v>
          </cell>
          <cell r="AG68">
            <v>8.83765609990394E-2</v>
          </cell>
          <cell r="AH68">
            <v>2.6223776223776199E-3</v>
          </cell>
          <cell r="AI68">
            <v>3.7587412587412598E-2</v>
          </cell>
          <cell r="AK68">
            <v>91.999999999999986</v>
          </cell>
          <cell r="AL68">
            <v>2.9895470383275264</v>
          </cell>
          <cell r="AM68">
            <v>101.10278578290108</v>
          </cell>
          <cell r="AN68">
            <v>2.9999999999999973</v>
          </cell>
          <cell r="AO68">
            <v>43.000000000000014</v>
          </cell>
          <cell r="AQ68" t="str">
            <v>C</v>
          </cell>
          <cell r="AR68">
            <v>108330</v>
          </cell>
          <cell r="AS68">
            <v>0</v>
          </cell>
          <cell r="AT68">
            <v>0</v>
          </cell>
          <cell r="AU68">
            <v>0</v>
          </cell>
          <cell r="AV68">
            <v>108330</v>
          </cell>
          <cell r="AX68" t="str">
            <v>No</v>
          </cell>
          <cell r="AY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4997847.8595968327</v>
          </cell>
          <cell r="BE68">
            <v>0</v>
          </cell>
          <cell r="BF68">
            <v>0</v>
          </cell>
        </row>
        <row r="69">
          <cell r="A69">
            <v>4508</v>
          </cell>
          <cell r="B69" t="str">
            <v>Joseph Rowntree School</v>
          </cell>
          <cell r="D69" t="str">
            <v>No</v>
          </cell>
          <cell r="F69">
            <v>0</v>
          </cell>
          <cell r="G69">
            <v>571</v>
          </cell>
          <cell r="H69">
            <v>409</v>
          </cell>
          <cell r="I69">
            <v>980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P69">
            <v>0</v>
          </cell>
          <cell r="Q69">
            <v>-6</v>
          </cell>
          <cell r="R69">
            <v>-4</v>
          </cell>
          <cell r="S69">
            <v>-10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Z69">
            <v>0</v>
          </cell>
          <cell r="AA69">
            <v>565</v>
          </cell>
          <cell r="AB69">
            <v>405</v>
          </cell>
          <cell r="AC69">
            <v>970</v>
          </cell>
          <cell r="AE69">
            <v>8.7755102040816296E-2</v>
          </cell>
          <cell r="AF69">
            <v>8.1466395112016286E-3</v>
          </cell>
          <cell r="AG69">
            <v>0.10472972972973001</v>
          </cell>
          <cell r="AH69">
            <v>1.4285714285714299E-2</v>
          </cell>
          <cell r="AI69">
            <v>5.40816326530612E-2</v>
          </cell>
          <cell r="AK69">
            <v>85.122448979591809</v>
          </cell>
          <cell r="AL69">
            <v>7.9022403258655798</v>
          </cell>
          <cell r="AM69">
            <v>101.58783783783811</v>
          </cell>
          <cell r="AN69">
            <v>13.85714285714287</v>
          </cell>
          <cell r="AO69">
            <v>52.459183673469362</v>
          </cell>
          <cell r="AQ69" t="str">
            <v>VC</v>
          </cell>
          <cell r="AR69">
            <v>95984</v>
          </cell>
          <cell r="AS69">
            <v>0</v>
          </cell>
          <cell r="AT69">
            <v>0</v>
          </cell>
          <cell r="AU69">
            <v>0</v>
          </cell>
          <cell r="AV69">
            <v>95984</v>
          </cell>
          <cell r="AX69" t="str">
            <v>No</v>
          </cell>
          <cell r="AY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4268764.8362095067</v>
          </cell>
          <cell r="BE69">
            <v>0</v>
          </cell>
          <cell r="BF69">
            <v>0</v>
          </cell>
        </row>
        <row r="70">
          <cell r="A70">
            <v>4602</v>
          </cell>
          <cell r="B70" t="str">
            <v>Manor CE School</v>
          </cell>
          <cell r="D70" t="str">
            <v>Yes</v>
          </cell>
          <cell r="F70">
            <v>0</v>
          </cell>
          <cell r="G70">
            <v>573</v>
          </cell>
          <cell r="H70">
            <v>371</v>
          </cell>
          <cell r="I70">
            <v>944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Z70">
            <v>0</v>
          </cell>
          <cell r="AA70">
            <v>573</v>
          </cell>
          <cell r="AB70">
            <v>371</v>
          </cell>
          <cell r="AC70">
            <v>944</v>
          </cell>
          <cell r="AE70">
            <v>5.1906779661016998E-2</v>
          </cell>
          <cell r="AF70">
            <v>9.9447513812154689E-3</v>
          </cell>
          <cell r="AG70">
            <v>6.9844789356984502E-2</v>
          </cell>
          <cell r="AH70">
            <v>2.1186440677966102E-3</v>
          </cell>
          <cell r="AI70">
            <v>1.27118644067797E-2</v>
          </cell>
          <cell r="AK70">
            <v>49.00000000000005</v>
          </cell>
          <cell r="AL70">
            <v>9.3878453038674028</v>
          </cell>
          <cell r="AM70">
            <v>65.933481152993366</v>
          </cell>
          <cell r="AN70">
            <v>2</v>
          </cell>
          <cell r="AO70">
            <v>12.000000000000037</v>
          </cell>
          <cell r="AQ70" t="str">
            <v>VA</v>
          </cell>
          <cell r="AR70">
            <v>34733</v>
          </cell>
          <cell r="AS70">
            <v>0</v>
          </cell>
          <cell r="AT70">
            <v>0</v>
          </cell>
          <cell r="AU70" t="str">
            <v>DRR no longer applied</v>
          </cell>
          <cell r="AV70">
            <v>34733</v>
          </cell>
          <cell r="AX70" t="str">
            <v>No</v>
          </cell>
          <cell r="AY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4167094.0824245694</v>
          </cell>
          <cell r="BE70">
            <v>0</v>
          </cell>
          <cell r="BF70">
            <v>0</v>
          </cell>
        </row>
        <row r="71">
          <cell r="A71">
            <v>4229</v>
          </cell>
          <cell r="B71" t="str">
            <v>Millthorpe School</v>
          </cell>
          <cell r="D71" t="str">
            <v>No</v>
          </cell>
          <cell r="F71">
            <v>0</v>
          </cell>
          <cell r="G71">
            <v>566</v>
          </cell>
          <cell r="H71">
            <v>374</v>
          </cell>
          <cell r="I71">
            <v>940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Z71">
            <v>0</v>
          </cell>
          <cell r="AA71">
            <v>566</v>
          </cell>
          <cell r="AB71">
            <v>374</v>
          </cell>
          <cell r="AC71">
            <v>940</v>
          </cell>
          <cell r="AE71">
            <v>8.9361702127659606E-2</v>
          </cell>
          <cell r="AF71">
            <v>1.0288065843621399E-2</v>
          </cell>
          <cell r="AG71">
            <v>7.69230769230769E-2</v>
          </cell>
          <cell r="AH71">
            <v>1.60427807486631E-2</v>
          </cell>
          <cell r="AI71">
            <v>3.7234042553191501E-2</v>
          </cell>
          <cell r="AK71">
            <v>84.000000000000028</v>
          </cell>
          <cell r="AL71">
            <v>9.6707818930041149</v>
          </cell>
          <cell r="AM71">
            <v>72.307692307692292</v>
          </cell>
          <cell r="AN71">
            <v>15.080213903743314</v>
          </cell>
          <cell r="AO71">
            <v>35.000000000000014</v>
          </cell>
          <cell r="AQ71" t="str">
            <v>C</v>
          </cell>
          <cell r="AR71">
            <v>95142</v>
          </cell>
          <cell r="AS71">
            <v>0</v>
          </cell>
          <cell r="AT71">
            <v>0</v>
          </cell>
          <cell r="AU71">
            <v>0</v>
          </cell>
          <cell r="AV71">
            <v>95142</v>
          </cell>
          <cell r="AX71" t="str">
            <v>No</v>
          </cell>
          <cell r="AY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4238964.0592697551</v>
          </cell>
          <cell r="BE71">
            <v>0</v>
          </cell>
          <cell r="BF71">
            <v>0</v>
          </cell>
        </row>
        <row r="72">
          <cell r="A72">
            <v>4703</v>
          </cell>
          <cell r="B72" t="str">
            <v>York High School</v>
          </cell>
          <cell r="D72" t="str">
            <v>No</v>
          </cell>
          <cell r="F72">
            <v>0</v>
          </cell>
          <cell r="G72">
            <v>482</v>
          </cell>
          <cell r="H72">
            <v>309</v>
          </cell>
          <cell r="I72">
            <v>791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Z72">
            <v>0</v>
          </cell>
          <cell r="AA72">
            <v>482</v>
          </cell>
          <cell r="AB72">
            <v>309</v>
          </cell>
          <cell r="AC72">
            <v>791</v>
          </cell>
          <cell r="AE72">
            <v>0.221238938053097</v>
          </cell>
          <cell r="AF72">
            <v>6.4020486555697821E-3</v>
          </cell>
          <cell r="AG72">
            <v>0.20286085825747699</v>
          </cell>
          <cell r="AH72">
            <v>1.2642225031605601E-3</v>
          </cell>
          <cell r="AI72">
            <v>4.0455120101137797E-2</v>
          </cell>
          <cell r="AK72">
            <v>174.99999999999972</v>
          </cell>
          <cell r="AL72">
            <v>5.0640204865556973</v>
          </cell>
          <cell r="AM72">
            <v>160.46293888166429</v>
          </cell>
          <cell r="AN72">
            <v>1.0000000000000031</v>
          </cell>
          <cell r="AO72">
            <v>31.999999999999996</v>
          </cell>
          <cell r="AQ72" t="str">
            <v>C</v>
          </cell>
          <cell r="AR72">
            <v>259050</v>
          </cell>
          <cell r="AS72">
            <v>0</v>
          </cell>
          <cell r="AT72">
            <v>66848</v>
          </cell>
          <cell r="AU72" t="str">
            <v>Energise share of rates charged to S6011</v>
          </cell>
          <cell r="AV72">
            <v>192202</v>
          </cell>
          <cell r="AX72" t="str">
            <v>No</v>
          </cell>
          <cell r="AY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4251880.5102400035</v>
          </cell>
          <cell r="BE72">
            <v>0</v>
          </cell>
          <cell r="BF72">
            <v>0</v>
          </cell>
        </row>
        <row r="73">
          <cell r="D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X73">
            <v>0</v>
          </cell>
          <cell r="AY73">
            <v>0</v>
          </cell>
          <cell r="BA73">
            <v>0</v>
          </cell>
          <cell r="BB73">
            <v>0</v>
          </cell>
          <cell r="BD73">
            <v>0</v>
          </cell>
          <cell r="BF73">
            <v>0</v>
          </cell>
        </row>
        <row r="74">
          <cell r="B74" t="str">
            <v>Total All Secondary Schools</v>
          </cell>
          <cell r="C74">
            <v>0</v>
          </cell>
          <cell r="D74">
            <v>2</v>
          </cell>
          <cell r="E74">
            <v>0</v>
          </cell>
          <cell r="F74">
            <v>0</v>
          </cell>
          <cell r="G74">
            <v>5001</v>
          </cell>
          <cell r="H74">
            <v>3441</v>
          </cell>
          <cell r="I74">
            <v>8442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-12</v>
          </cell>
          <cell r="R74">
            <v>-8</v>
          </cell>
          <cell r="S74">
            <v>-20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4989</v>
          </cell>
          <cell r="AB74">
            <v>3433</v>
          </cell>
          <cell r="AC74">
            <v>8422</v>
          </cell>
          <cell r="AD74">
            <v>0</v>
          </cell>
          <cell r="AE74">
            <v>9.4847111301950005E-2</v>
          </cell>
          <cell r="AF74">
            <v>5.9936483431600454E-3</v>
          </cell>
          <cell r="AG74">
            <v>9.6233843047528259E-2</v>
          </cell>
          <cell r="AH74">
            <v>9.1799708937941246E-3</v>
          </cell>
          <cell r="AI74">
            <v>3.4692223149262791E-2</v>
          </cell>
          <cell r="AJ74">
            <v>0</v>
          </cell>
          <cell r="AK74">
            <v>798.80237138502298</v>
          </cell>
          <cell r="AL74">
            <v>50.478506346093901</v>
          </cell>
          <cell r="AM74">
            <v>810.48142614628296</v>
          </cell>
          <cell r="AN74">
            <v>77.313714867534117</v>
          </cell>
          <cell r="AO74">
            <v>292.17790336309122</v>
          </cell>
          <cell r="AP74">
            <v>0</v>
          </cell>
          <cell r="AQ74">
            <v>0</v>
          </cell>
          <cell r="AR74">
            <v>886149</v>
          </cell>
          <cell r="AS74">
            <v>0</v>
          </cell>
          <cell r="AT74">
            <v>66848</v>
          </cell>
          <cell r="AU74">
            <v>0</v>
          </cell>
          <cell r="AV74">
            <v>819301</v>
          </cell>
          <cell r="AW74">
            <v>0</v>
          </cell>
          <cell r="AX74">
            <v>0</v>
          </cell>
          <cell r="AY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39025754.903676257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</row>
        <row r="76">
          <cell r="B76" t="str">
            <v>TOTAL ALL SCHOOLS</v>
          </cell>
          <cell r="C76">
            <v>0</v>
          </cell>
          <cell r="D76">
            <v>2</v>
          </cell>
          <cell r="E76">
            <v>0</v>
          </cell>
          <cell r="F76">
            <v>12808</v>
          </cell>
          <cell r="G76">
            <v>5001</v>
          </cell>
          <cell r="H76">
            <v>3441</v>
          </cell>
          <cell r="I76">
            <v>21250</v>
          </cell>
          <cell r="J76">
            <v>0</v>
          </cell>
          <cell r="K76">
            <v>36</v>
          </cell>
          <cell r="L76">
            <v>0</v>
          </cell>
          <cell r="M76">
            <v>0</v>
          </cell>
          <cell r="N76">
            <v>36</v>
          </cell>
          <cell r="O76">
            <v>0</v>
          </cell>
          <cell r="P76">
            <v>-36</v>
          </cell>
          <cell r="Q76">
            <v>-12</v>
          </cell>
          <cell r="R76">
            <v>-8</v>
          </cell>
          <cell r="S76">
            <v>-56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12808</v>
          </cell>
          <cell r="AA76">
            <v>4989</v>
          </cell>
          <cell r="AB76">
            <v>3433</v>
          </cell>
          <cell r="AC76">
            <v>21230</v>
          </cell>
          <cell r="AD76">
            <v>0</v>
          </cell>
          <cell r="AE76">
            <v>0.11002304940500036</v>
          </cell>
          <cell r="AF76">
            <v>5.1499230133829248E-3</v>
          </cell>
          <cell r="AG76">
            <v>0.1476663234617876</v>
          </cell>
          <cell r="AH76">
            <v>2.6182884763768777E-2</v>
          </cell>
          <cell r="AI76">
            <v>5.4252461819580489E-2</v>
          </cell>
          <cell r="AJ76">
            <v>0</v>
          </cell>
          <cell r="AK76">
            <v>2335.7893388681578</v>
          </cell>
          <cell r="AL76">
            <v>109.3328655741195</v>
          </cell>
          <cell r="AM76">
            <v>3134.9560470937504</v>
          </cell>
          <cell r="AN76">
            <v>555.86264353481113</v>
          </cell>
          <cell r="AO76">
            <v>1151.7797644296938</v>
          </cell>
          <cell r="AP76">
            <v>0</v>
          </cell>
          <cell r="AQ76">
            <v>0</v>
          </cell>
          <cell r="AR76">
            <v>1548225</v>
          </cell>
          <cell r="AS76">
            <v>0</v>
          </cell>
          <cell r="AT76">
            <v>78536</v>
          </cell>
          <cell r="AU76">
            <v>0</v>
          </cell>
          <cell r="AV76">
            <v>1469689</v>
          </cell>
          <cell r="AW76">
            <v>0</v>
          </cell>
          <cell r="AX76">
            <v>3</v>
          </cell>
          <cell r="AY76">
            <v>605363</v>
          </cell>
          <cell r="BA76">
            <v>0</v>
          </cell>
          <cell r="BB76">
            <v>0</v>
          </cell>
          <cell r="BC76">
            <v>0</v>
          </cell>
          <cell r="BD76">
            <v>84287304.918051004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H108"/>
  <sheetViews>
    <sheetView tabSelected="1" zoomScale="75" zoomScaleNormal="75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B2" sqref="B2"/>
    </sheetView>
  </sheetViews>
  <sheetFormatPr defaultRowHeight="15"/>
  <cols>
    <col min="1" max="1" width="0.85546875" style="1" customWidth="1"/>
    <col min="2" max="2" width="6.85546875" style="59" bestFit="1" customWidth="1"/>
    <col min="3" max="3" width="34.28515625" style="59" bestFit="1" customWidth="1"/>
    <col min="4" max="4" width="13.85546875" style="59" bestFit="1" customWidth="1"/>
    <col min="5" max="5" width="1.140625" style="60" customWidth="1"/>
    <col min="6" max="6" width="9.85546875" style="101" bestFit="1" customWidth="1"/>
    <col min="7" max="7" width="8.7109375" style="102" bestFit="1" customWidth="1"/>
    <col min="8" max="8" width="7.5703125" style="102" bestFit="1" customWidth="1"/>
    <col min="9" max="9" width="11" style="102" bestFit="1" customWidth="1"/>
    <col min="10" max="10" width="1.140625" style="102" customWidth="1"/>
    <col min="11" max="11" width="13.85546875" style="101" bestFit="1" customWidth="1"/>
    <col min="12" max="12" width="12" style="101" bestFit="1" customWidth="1"/>
    <col min="13" max="13" width="10.5703125" style="102" bestFit="1" customWidth="1"/>
    <col min="14" max="14" width="13.85546875" style="102" bestFit="1" customWidth="1"/>
    <col min="15" max="15" width="1.140625" style="102" customWidth="1"/>
    <col min="16" max="16" width="13.85546875" style="101" bestFit="1" customWidth="1"/>
    <col min="17" max="18" width="13.85546875" style="101" customWidth="1"/>
    <col min="19" max="19" width="13.85546875" style="102" bestFit="1" customWidth="1"/>
    <col min="20" max="20" width="10.5703125" style="101" bestFit="1" customWidth="1"/>
    <col min="21" max="21" width="12.5703125" style="101" bestFit="1" customWidth="1"/>
    <col min="22" max="22" width="9.28515625" style="101" bestFit="1" customWidth="1"/>
    <col min="23" max="27" width="10.5703125" style="101" bestFit="1" customWidth="1"/>
    <col min="28" max="28" width="13" style="102" bestFit="1" customWidth="1"/>
    <col min="29" max="29" width="13.140625" style="101" bestFit="1" customWidth="1"/>
    <col min="30" max="30" width="16" style="101" bestFit="1" customWidth="1"/>
    <col min="31" max="31" width="13.85546875" style="101" bestFit="1" customWidth="1"/>
    <col min="32" max="32" width="12.5703125" style="101" bestFit="1" customWidth="1"/>
    <col min="33" max="33" width="13.28515625" style="101" bestFit="1" customWidth="1"/>
    <col min="34" max="34" width="12.5703125" style="101" bestFit="1" customWidth="1"/>
    <col min="35" max="35" width="16" style="101" bestFit="1" customWidth="1"/>
    <col min="36" max="36" width="11" style="101" bestFit="1" customWidth="1"/>
    <col min="37" max="37" width="13.85546875" style="101" bestFit="1" customWidth="1"/>
    <col min="38" max="38" width="13.85546875" style="102" bestFit="1" customWidth="1"/>
    <col min="39" max="39" width="1.140625" style="102" customWidth="1"/>
    <col min="40" max="40" width="13.85546875" style="101" bestFit="1" customWidth="1"/>
    <col min="41" max="42" width="10.42578125" style="101" bestFit="1" customWidth="1"/>
    <col min="43" max="43" width="12" style="102" bestFit="1" customWidth="1"/>
    <col min="44" max="44" width="13.85546875" style="102" bestFit="1" customWidth="1"/>
    <col min="45" max="45" width="1.140625" style="102" customWidth="1"/>
    <col min="46" max="47" width="13.85546875" style="101" bestFit="1" customWidth="1"/>
    <col min="48" max="50" width="11.140625" style="101" bestFit="1" customWidth="1"/>
    <col min="51" max="51" width="10" style="101" bestFit="1" customWidth="1"/>
    <col min="52" max="52" width="8.7109375" style="101" bestFit="1" customWidth="1"/>
    <col min="53" max="53" width="9.28515625" style="102" bestFit="1" customWidth="1"/>
    <col min="54" max="54" width="13.85546875" style="102" bestFit="1" customWidth="1"/>
    <col min="55" max="55" width="1.140625" style="102" customWidth="1"/>
    <col min="56" max="56" width="13.85546875" style="101" bestFit="1" customWidth="1"/>
    <col min="57" max="57" width="11.140625" style="101" customWidth="1"/>
    <col min="58" max="58" width="11.140625" style="101" bestFit="1" customWidth="1"/>
    <col min="59" max="59" width="13" style="101" bestFit="1" customWidth="1"/>
    <col min="60" max="60" width="12" style="101" bestFit="1" customWidth="1"/>
    <col min="61" max="61" width="10" style="101" bestFit="1" customWidth="1"/>
    <col min="62" max="62" width="8.7109375" style="101" bestFit="1" customWidth="1"/>
    <col min="63" max="63" width="13.28515625" style="102" bestFit="1" customWidth="1"/>
    <col min="64" max="64" width="13.85546875" style="102" bestFit="1" customWidth="1"/>
    <col min="65" max="65" width="1.140625" style="102" customWidth="1"/>
    <col min="66" max="66" width="13.85546875" style="101" bestFit="1" customWidth="1"/>
    <col min="67" max="68" width="10.42578125" style="101" bestFit="1" customWidth="1"/>
    <col min="69" max="69" width="12.5703125" style="102" bestFit="1" customWidth="1"/>
    <col min="70" max="70" width="13.85546875" style="102" customWidth="1"/>
    <col min="71" max="71" width="1.140625" style="102" customWidth="1"/>
    <col min="72" max="72" width="13.85546875" style="102" bestFit="1" customWidth="1"/>
    <col min="73" max="73" width="8.7109375" style="102" bestFit="1" customWidth="1"/>
    <col min="74" max="74" width="13.85546875" style="102" bestFit="1" customWidth="1"/>
    <col min="75" max="75" width="8.7109375" style="102" bestFit="1" customWidth="1"/>
    <col min="76" max="76" width="12.5703125" style="102" bestFit="1" customWidth="1"/>
    <col min="77" max="77" width="8.7109375" style="102" bestFit="1" customWidth="1"/>
    <col min="78" max="78" width="8" style="102" bestFit="1" customWidth="1"/>
    <col min="79" max="79" width="1.140625" style="102" customWidth="1"/>
    <col min="80" max="80" width="13.85546875" style="102" customWidth="1"/>
    <col min="81" max="81" width="11.42578125" style="102" bestFit="1" customWidth="1"/>
    <col min="82" max="85" width="13.85546875" style="102" customWidth="1"/>
    <col min="86" max="16384" width="9.140625" style="1"/>
  </cols>
  <sheetData>
    <row r="1" spans="2:86" ht="5.0999999999999996" customHeight="1" thickBot="1"/>
    <row r="2" spans="2:86" ht="16.5" thickTop="1">
      <c r="B2" s="62"/>
      <c r="C2" s="63"/>
      <c r="D2" s="197"/>
      <c r="F2" s="329" t="s">
        <v>180</v>
      </c>
      <c r="G2" s="330"/>
      <c r="H2" s="330"/>
      <c r="I2" s="331"/>
      <c r="K2" s="329" t="s">
        <v>174</v>
      </c>
      <c r="L2" s="330"/>
      <c r="M2" s="330"/>
      <c r="N2" s="331"/>
      <c r="P2" s="332" t="s">
        <v>355</v>
      </c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0"/>
      <c r="AD2" s="330"/>
      <c r="AE2" s="330"/>
      <c r="AF2" s="330"/>
      <c r="AG2" s="330"/>
      <c r="AH2" s="330"/>
      <c r="AI2" s="330"/>
      <c r="AJ2" s="330"/>
      <c r="AK2" s="330"/>
      <c r="AL2" s="331"/>
      <c r="AN2" s="329" t="s">
        <v>227</v>
      </c>
      <c r="AO2" s="330"/>
      <c r="AP2" s="330"/>
      <c r="AQ2" s="330"/>
      <c r="AR2" s="331"/>
      <c r="AT2" s="329" t="s">
        <v>238</v>
      </c>
      <c r="AU2" s="330"/>
      <c r="AV2" s="330"/>
      <c r="AW2" s="330"/>
      <c r="AX2" s="330"/>
      <c r="AY2" s="330"/>
      <c r="AZ2" s="330"/>
      <c r="BA2" s="330"/>
      <c r="BB2" s="331"/>
      <c r="BD2" s="329" t="s">
        <v>249</v>
      </c>
      <c r="BE2" s="330"/>
      <c r="BF2" s="330"/>
      <c r="BG2" s="330"/>
      <c r="BH2" s="330"/>
      <c r="BI2" s="330"/>
      <c r="BJ2" s="330"/>
      <c r="BK2" s="330"/>
      <c r="BL2" s="331"/>
      <c r="BN2" s="329" t="s">
        <v>250</v>
      </c>
      <c r="BO2" s="330"/>
      <c r="BP2" s="330"/>
      <c r="BQ2" s="330"/>
      <c r="BR2" s="331"/>
      <c r="BT2" s="344" t="s">
        <v>261</v>
      </c>
      <c r="BU2" s="333"/>
      <c r="BV2" s="333"/>
      <c r="BW2" s="333"/>
      <c r="BX2" s="333"/>
      <c r="BY2" s="333"/>
      <c r="BZ2" s="345"/>
      <c r="CB2" s="344" t="s">
        <v>253</v>
      </c>
      <c r="CC2" s="345"/>
      <c r="CD2" s="68"/>
      <c r="CE2" s="68"/>
      <c r="CF2" s="68"/>
      <c r="CG2" s="68"/>
    </row>
    <row r="3" spans="2:86" ht="15.75">
      <c r="B3" s="198"/>
      <c r="C3" s="60"/>
      <c r="D3" s="70" t="s">
        <v>16</v>
      </c>
      <c r="F3" s="64" t="s">
        <v>175</v>
      </c>
      <c r="G3" s="65" t="s">
        <v>176</v>
      </c>
      <c r="H3" s="114" t="s">
        <v>178</v>
      </c>
      <c r="I3" s="116" t="s">
        <v>141</v>
      </c>
      <c r="K3" s="106" t="s">
        <v>141</v>
      </c>
      <c r="L3" s="65" t="s">
        <v>176</v>
      </c>
      <c r="M3" s="65" t="s">
        <v>181</v>
      </c>
      <c r="N3" s="116" t="s">
        <v>141</v>
      </c>
      <c r="P3" s="337" t="s">
        <v>183</v>
      </c>
      <c r="Q3" s="335"/>
      <c r="R3" s="335"/>
      <c r="S3" s="336"/>
      <c r="T3" s="334" t="s">
        <v>189</v>
      </c>
      <c r="U3" s="335"/>
      <c r="V3" s="335"/>
      <c r="W3" s="335"/>
      <c r="X3" s="335"/>
      <c r="Y3" s="335"/>
      <c r="Z3" s="335"/>
      <c r="AA3" s="335"/>
      <c r="AB3" s="336"/>
      <c r="AC3" s="136" t="s">
        <v>200</v>
      </c>
      <c r="AD3" s="136" t="s">
        <v>203</v>
      </c>
      <c r="AE3" s="136" t="s">
        <v>176</v>
      </c>
      <c r="AF3" s="136"/>
      <c r="AG3" s="136" t="s">
        <v>272</v>
      </c>
      <c r="AH3" s="136"/>
      <c r="AI3" s="136" t="s">
        <v>212</v>
      </c>
      <c r="AJ3" s="136"/>
      <c r="AK3" s="136" t="s">
        <v>218</v>
      </c>
      <c r="AL3" s="71" t="s">
        <v>273</v>
      </c>
      <c r="AN3" s="106" t="s">
        <v>228</v>
      </c>
      <c r="AO3" s="65" t="s">
        <v>230</v>
      </c>
      <c r="AP3" s="341" t="s">
        <v>231</v>
      </c>
      <c r="AQ3" s="346"/>
      <c r="AR3" s="71" t="s">
        <v>233</v>
      </c>
      <c r="AT3" s="106" t="s">
        <v>141</v>
      </c>
      <c r="AU3" s="172" t="s">
        <v>1</v>
      </c>
      <c r="AV3" s="65" t="s">
        <v>141</v>
      </c>
      <c r="AW3" s="172" t="s">
        <v>1</v>
      </c>
      <c r="AX3" s="172" t="s">
        <v>160</v>
      </c>
      <c r="AY3" s="341" t="s">
        <v>244</v>
      </c>
      <c r="AZ3" s="341"/>
      <c r="BA3" s="346"/>
      <c r="BB3" s="71" t="s">
        <v>237</v>
      </c>
      <c r="BD3" s="181" t="s">
        <v>4</v>
      </c>
      <c r="BE3" s="172" t="s">
        <v>4</v>
      </c>
      <c r="BF3" s="172" t="s">
        <v>4</v>
      </c>
      <c r="BG3" s="172" t="s">
        <v>240</v>
      </c>
      <c r="BH3" s="172" t="s">
        <v>243</v>
      </c>
      <c r="BI3" s="341" t="s">
        <v>246</v>
      </c>
      <c r="BJ3" s="341"/>
      <c r="BK3" s="346"/>
      <c r="BL3" s="71" t="s">
        <v>237</v>
      </c>
      <c r="BN3" s="106" t="s">
        <v>228</v>
      </c>
      <c r="BO3" s="65" t="s">
        <v>230</v>
      </c>
      <c r="BP3" s="341" t="s">
        <v>231</v>
      </c>
      <c r="BQ3" s="346"/>
      <c r="BR3" s="71" t="s">
        <v>274</v>
      </c>
      <c r="BT3" s="348" t="s">
        <v>141</v>
      </c>
      <c r="BU3" s="349"/>
      <c r="BV3" s="340" t="s">
        <v>1</v>
      </c>
      <c r="BW3" s="351"/>
      <c r="BX3" s="340" t="s">
        <v>1</v>
      </c>
      <c r="BY3" s="341"/>
      <c r="BZ3" s="342"/>
      <c r="CB3" s="182" t="s">
        <v>162</v>
      </c>
      <c r="CC3" s="180"/>
      <c r="CD3" s="68"/>
      <c r="CE3" s="68"/>
      <c r="CF3" s="68"/>
      <c r="CG3" s="68"/>
    </row>
    <row r="4" spans="2:86" ht="15.75">
      <c r="B4" s="199" t="s">
        <v>162</v>
      </c>
      <c r="C4" s="61"/>
      <c r="D4" s="70" t="s">
        <v>14</v>
      </c>
      <c r="F4" s="72" t="s">
        <v>141</v>
      </c>
      <c r="G4" s="68" t="s">
        <v>177</v>
      </c>
      <c r="H4" s="115" t="s">
        <v>179</v>
      </c>
      <c r="I4" s="71" t="s">
        <v>163</v>
      </c>
      <c r="K4" s="67" t="s">
        <v>271</v>
      </c>
      <c r="L4" s="68" t="s">
        <v>177</v>
      </c>
      <c r="M4" s="74" t="s">
        <v>182</v>
      </c>
      <c r="N4" s="71" t="s">
        <v>163</v>
      </c>
      <c r="P4" s="64" t="s">
        <v>153</v>
      </c>
      <c r="Q4" s="66" t="s">
        <v>185</v>
      </c>
      <c r="R4" s="118" t="s">
        <v>186</v>
      </c>
      <c r="S4" s="127"/>
      <c r="T4" s="126" t="s">
        <v>190</v>
      </c>
      <c r="U4" s="66" t="s">
        <v>190</v>
      </c>
      <c r="V4" s="66" t="s">
        <v>193</v>
      </c>
      <c r="W4" s="113" t="s">
        <v>193</v>
      </c>
      <c r="X4" s="113" t="s">
        <v>193</v>
      </c>
      <c r="Y4" s="113" t="s">
        <v>193</v>
      </c>
      <c r="Z4" s="65" t="s">
        <v>193</v>
      </c>
      <c r="AA4" s="65" t="s">
        <v>193</v>
      </c>
      <c r="AB4" s="127"/>
      <c r="AC4" s="137" t="s">
        <v>201</v>
      </c>
      <c r="AD4" s="137" t="s">
        <v>204</v>
      </c>
      <c r="AE4" s="137" t="s">
        <v>5</v>
      </c>
      <c r="AF4" s="137" t="s">
        <v>207</v>
      </c>
      <c r="AG4" s="137" t="s">
        <v>223</v>
      </c>
      <c r="AH4" s="137" t="s">
        <v>210</v>
      </c>
      <c r="AI4" s="137" t="s">
        <v>213</v>
      </c>
      <c r="AJ4" s="137" t="s">
        <v>215</v>
      </c>
      <c r="AK4" s="137" t="s">
        <v>219</v>
      </c>
      <c r="AL4" s="71" t="s">
        <v>221</v>
      </c>
      <c r="AN4" s="67" t="s">
        <v>229</v>
      </c>
      <c r="AO4" s="68" t="s">
        <v>5</v>
      </c>
      <c r="AP4" s="339" t="s">
        <v>78</v>
      </c>
      <c r="AQ4" s="347"/>
      <c r="AR4" s="71" t="s">
        <v>221</v>
      </c>
      <c r="AT4" s="67" t="s">
        <v>234</v>
      </c>
      <c r="AU4" s="68" t="s">
        <v>234</v>
      </c>
      <c r="AV4" s="68" t="s">
        <v>234</v>
      </c>
      <c r="AW4" s="68" t="s">
        <v>234</v>
      </c>
      <c r="AX4" s="68" t="s">
        <v>236</v>
      </c>
      <c r="AY4" s="339" t="s">
        <v>245</v>
      </c>
      <c r="AZ4" s="339"/>
      <c r="BA4" s="347"/>
      <c r="BB4" s="71" t="s">
        <v>234</v>
      </c>
      <c r="BD4" s="182" t="s">
        <v>242</v>
      </c>
      <c r="BE4" s="68" t="s">
        <v>242</v>
      </c>
      <c r="BF4" s="69" t="s">
        <v>242</v>
      </c>
      <c r="BG4" s="68" t="s">
        <v>241</v>
      </c>
      <c r="BH4" s="68" t="s">
        <v>239</v>
      </c>
      <c r="BI4" s="339" t="s">
        <v>247</v>
      </c>
      <c r="BJ4" s="339"/>
      <c r="BK4" s="347"/>
      <c r="BL4" s="71" t="s">
        <v>248</v>
      </c>
      <c r="BN4" s="67" t="s">
        <v>229</v>
      </c>
      <c r="BO4" s="68" t="s">
        <v>5</v>
      </c>
      <c r="BP4" s="339" t="s">
        <v>78</v>
      </c>
      <c r="BQ4" s="347"/>
      <c r="BR4" s="71" t="s">
        <v>275</v>
      </c>
      <c r="BT4" s="350" t="s">
        <v>259</v>
      </c>
      <c r="BU4" s="347"/>
      <c r="BV4" s="338" t="s">
        <v>260</v>
      </c>
      <c r="BW4" s="339"/>
      <c r="BX4" s="338" t="s">
        <v>260</v>
      </c>
      <c r="BY4" s="339"/>
      <c r="BZ4" s="343"/>
      <c r="CB4" s="182" t="s">
        <v>254</v>
      </c>
      <c r="CC4" s="180" t="s">
        <v>256</v>
      </c>
      <c r="CD4" s="68"/>
      <c r="CE4" s="68"/>
      <c r="CF4" s="68"/>
      <c r="CG4" s="68"/>
    </row>
    <row r="5" spans="2:86" ht="15.75">
      <c r="B5" s="199" t="s">
        <v>164</v>
      </c>
      <c r="C5" s="61" t="s">
        <v>165</v>
      </c>
      <c r="D5" s="70" t="s">
        <v>17</v>
      </c>
      <c r="E5" s="61"/>
      <c r="F5" s="67" t="s">
        <v>271</v>
      </c>
      <c r="G5" s="68" t="s">
        <v>172</v>
      </c>
      <c r="H5" s="68" t="s">
        <v>173</v>
      </c>
      <c r="I5" s="71" t="s">
        <v>159</v>
      </c>
      <c r="K5" s="67" t="s">
        <v>78</v>
      </c>
      <c r="L5" s="68" t="s">
        <v>172</v>
      </c>
      <c r="M5" s="68" t="s">
        <v>161</v>
      </c>
      <c r="N5" s="71" t="s">
        <v>159</v>
      </c>
      <c r="P5" s="67" t="s">
        <v>184</v>
      </c>
      <c r="Q5" s="69" t="s">
        <v>184</v>
      </c>
      <c r="R5" s="119" t="s">
        <v>184</v>
      </c>
      <c r="S5" s="127" t="s">
        <v>159</v>
      </c>
      <c r="T5" s="69" t="s">
        <v>191</v>
      </c>
      <c r="U5" s="69" t="s">
        <v>192</v>
      </c>
      <c r="V5" s="69" t="s">
        <v>194</v>
      </c>
      <c r="W5" s="69" t="s">
        <v>195</v>
      </c>
      <c r="X5" s="69" t="s">
        <v>196</v>
      </c>
      <c r="Y5" s="69" t="s">
        <v>197</v>
      </c>
      <c r="Z5" s="68" t="s">
        <v>198</v>
      </c>
      <c r="AA5" s="68" t="s">
        <v>199</v>
      </c>
      <c r="AB5" s="127" t="s">
        <v>159</v>
      </c>
      <c r="AC5" s="137" t="s">
        <v>202</v>
      </c>
      <c r="AD5" s="137" t="s">
        <v>205</v>
      </c>
      <c r="AE5" s="137" t="s">
        <v>206</v>
      </c>
      <c r="AF5" s="137" t="s">
        <v>208</v>
      </c>
      <c r="AG5" s="137" t="s">
        <v>209</v>
      </c>
      <c r="AH5" s="137" t="s">
        <v>211</v>
      </c>
      <c r="AI5" s="137" t="s">
        <v>214</v>
      </c>
      <c r="AJ5" s="137" t="s">
        <v>216</v>
      </c>
      <c r="AK5" s="137" t="s">
        <v>220</v>
      </c>
      <c r="AL5" s="71" t="s">
        <v>159</v>
      </c>
      <c r="AN5" s="67" t="s">
        <v>78</v>
      </c>
      <c r="AO5" s="68" t="s">
        <v>78</v>
      </c>
      <c r="AP5" s="339" t="s">
        <v>232</v>
      </c>
      <c r="AQ5" s="347"/>
      <c r="AR5" s="71" t="s">
        <v>159</v>
      </c>
      <c r="AT5" s="67" t="s">
        <v>159</v>
      </c>
      <c r="AU5" s="68" t="s">
        <v>159</v>
      </c>
      <c r="AV5" s="68" t="s">
        <v>235</v>
      </c>
      <c r="AW5" s="68" t="s">
        <v>235</v>
      </c>
      <c r="AX5" s="68" t="s">
        <v>235</v>
      </c>
      <c r="AY5" s="339" t="s">
        <v>232</v>
      </c>
      <c r="AZ5" s="339"/>
      <c r="BA5" s="347"/>
      <c r="BB5" s="71" t="s">
        <v>159</v>
      </c>
      <c r="BD5" s="67" t="s">
        <v>159</v>
      </c>
      <c r="BE5" s="68" t="s">
        <v>235</v>
      </c>
      <c r="BF5" s="69" t="s">
        <v>235</v>
      </c>
      <c r="BG5" s="68" t="s">
        <v>242</v>
      </c>
      <c r="BH5" s="68" t="s">
        <v>242</v>
      </c>
      <c r="BI5" s="339" t="s">
        <v>232</v>
      </c>
      <c r="BJ5" s="339"/>
      <c r="BK5" s="347"/>
      <c r="BL5" s="71" t="s">
        <v>159</v>
      </c>
      <c r="BN5" s="67" t="s">
        <v>78</v>
      </c>
      <c r="BO5" s="68" t="s">
        <v>78</v>
      </c>
      <c r="BP5" s="339" t="s">
        <v>232</v>
      </c>
      <c r="BQ5" s="347"/>
      <c r="BR5" s="71" t="s">
        <v>159</v>
      </c>
      <c r="BT5" s="350" t="s">
        <v>78</v>
      </c>
      <c r="BU5" s="347"/>
      <c r="BV5" s="338" t="s">
        <v>78</v>
      </c>
      <c r="BW5" s="339"/>
      <c r="BX5" s="338" t="s">
        <v>276</v>
      </c>
      <c r="BY5" s="339"/>
      <c r="BZ5" s="343"/>
      <c r="CB5" s="182" t="s">
        <v>159</v>
      </c>
      <c r="CC5" s="180" t="s">
        <v>255</v>
      </c>
      <c r="CD5" s="68"/>
      <c r="CE5" s="68"/>
      <c r="CF5" s="68"/>
      <c r="CG5" s="68"/>
    </row>
    <row r="6" spans="2:86" ht="15.75">
      <c r="B6" s="200"/>
      <c r="C6" s="201"/>
      <c r="D6" s="202"/>
      <c r="E6" s="61"/>
      <c r="F6" s="67" t="s">
        <v>171</v>
      </c>
      <c r="G6" s="69" t="s">
        <v>171</v>
      </c>
      <c r="H6" s="68" t="s">
        <v>171</v>
      </c>
      <c r="I6" s="71" t="s">
        <v>0</v>
      </c>
      <c r="K6" s="72" t="s">
        <v>0</v>
      </c>
      <c r="L6" s="73" t="s">
        <v>0</v>
      </c>
      <c r="M6" s="68" t="s">
        <v>0</v>
      </c>
      <c r="N6" s="71" t="s">
        <v>0</v>
      </c>
      <c r="P6" s="72" t="s">
        <v>0</v>
      </c>
      <c r="Q6" s="73" t="s">
        <v>0</v>
      </c>
      <c r="R6" s="120" t="s">
        <v>0</v>
      </c>
      <c r="S6" s="127" t="s">
        <v>0</v>
      </c>
      <c r="T6" s="73" t="s">
        <v>0</v>
      </c>
      <c r="U6" s="73" t="s">
        <v>0</v>
      </c>
      <c r="V6" s="73" t="s">
        <v>0</v>
      </c>
      <c r="W6" s="73" t="s">
        <v>0</v>
      </c>
      <c r="X6" s="73" t="s">
        <v>0</v>
      </c>
      <c r="Y6" s="73" t="s">
        <v>0</v>
      </c>
      <c r="Z6" s="73" t="s">
        <v>0</v>
      </c>
      <c r="AA6" s="73" t="s">
        <v>0</v>
      </c>
      <c r="AB6" s="127" t="s">
        <v>0</v>
      </c>
      <c r="AC6" s="138" t="s">
        <v>0</v>
      </c>
      <c r="AD6" s="138" t="s">
        <v>0</v>
      </c>
      <c r="AE6" s="138" t="s">
        <v>0</v>
      </c>
      <c r="AF6" s="138" t="s">
        <v>0</v>
      </c>
      <c r="AG6" s="138" t="s">
        <v>0</v>
      </c>
      <c r="AH6" s="138" t="s">
        <v>0</v>
      </c>
      <c r="AI6" s="138" t="s">
        <v>0</v>
      </c>
      <c r="AJ6" s="138" t="s">
        <v>0</v>
      </c>
      <c r="AK6" s="138" t="s">
        <v>0</v>
      </c>
      <c r="AL6" s="71" t="s">
        <v>0</v>
      </c>
      <c r="AN6" s="72" t="s">
        <v>0</v>
      </c>
      <c r="AO6" s="73" t="s">
        <v>75</v>
      </c>
      <c r="AP6" s="73" t="s">
        <v>75</v>
      </c>
      <c r="AQ6" s="68" t="s">
        <v>0</v>
      </c>
      <c r="AR6" s="71" t="s">
        <v>0</v>
      </c>
      <c r="AT6" s="72" t="s">
        <v>0</v>
      </c>
      <c r="AU6" s="73" t="s">
        <v>0</v>
      </c>
      <c r="AV6" s="73" t="s">
        <v>75</v>
      </c>
      <c r="AW6" s="73" t="s">
        <v>75</v>
      </c>
      <c r="AX6" s="73" t="s">
        <v>3</v>
      </c>
      <c r="AY6" s="73" t="s">
        <v>3</v>
      </c>
      <c r="AZ6" s="73" t="s">
        <v>75</v>
      </c>
      <c r="BA6" s="68" t="s">
        <v>0</v>
      </c>
      <c r="BB6" s="71" t="s">
        <v>0</v>
      </c>
      <c r="BD6" s="72" t="s">
        <v>0</v>
      </c>
      <c r="BE6" s="73" t="s">
        <v>75</v>
      </c>
      <c r="BF6" s="73" t="s">
        <v>3</v>
      </c>
      <c r="BG6" s="73" t="s">
        <v>3</v>
      </c>
      <c r="BH6" s="73" t="s">
        <v>3</v>
      </c>
      <c r="BI6" s="73" t="s">
        <v>3</v>
      </c>
      <c r="BJ6" s="73" t="s">
        <v>75</v>
      </c>
      <c r="BK6" s="68" t="s">
        <v>0</v>
      </c>
      <c r="BL6" s="71" t="s">
        <v>0</v>
      </c>
      <c r="BN6" s="72" t="s">
        <v>0</v>
      </c>
      <c r="BO6" s="73" t="s">
        <v>75</v>
      </c>
      <c r="BP6" s="73" t="s">
        <v>75</v>
      </c>
      <c r="BQ6" s="68" t="s">
        <v>0</v>
      </c>
      <c r="BR6" s="71" t="s">
        <v>0</v>
      </c>
      <c r="BT6" s="182" t="s">
        <v>0</v>
      </c>
      <c r="BU6" s="120" t="s">
        <v>75</v>
      </c>
      <c r="BV6" s="262" t="s">
        <v>0</v>
      </c>
      <c r="BW6" s="73" t="s">
        <v>75</v>
      </c>
      <c r="BX6" s="262" t="s">
        <v>0</v>
      </c>
      <c r="BY6" s="73" t="s">
        <v>75</v>
      </c>
      <c r="BZ6" s="180" t="s">
        <v>3</v>
      </c>
      <c r="CB6" s="182" t="s">
        <v>0</v>
      </c>
      <c r="CC6" s="180" t="s">
        <v>0</v>
      </c>
      <c r="CD6" s="68"/>
      <c r="CE6" s="68"/>
      <c r="CF6" s="68"/>
      <c r="CG6" s="68"/>
    </row>
    <row r="7" spans="2:86" ht="15.75">
      <c r="B7" s="200"/>
      <c r="C7" s="201"/>
      <c r="D7" s="202"/>
      <c r="E7" s="61"/>
      <c r="F7" s="299" t="s">
        <v>285</v>
      </c>
      <c r="G7" s="306" t="s">
        <v>286</v>
      </c>
      <c r="H7" s="300" t="s">
        <v>287</v>
      </c>
      <c r="I7" s="301" t="s">
        <v>288</v>
      </c>
      <c r="K7" s="299" t="s">
        <v>289</v>
      </c>
      <c r="L7" s="306" t="s">
        <v>290</v>
      </c>
      <c r="M7" s="300" t="s">
        <v>291</v>
      </c>
      <c r="N7" s="301" t="s">
        <v>292</v>
      </c>
      <c r="P7" s="299" t="s">
        <v>293</v>
      </c>
      <c r="Q7" s="306" t="s">
        <v>294</v>
      </c>
      <c r="R7" s="307" t="s">
        <v>296</v>
      </c>
      <c r="S7" s="302" t="s">
        <v>295</v>
      </c>
      <c r="T7" s="306" t="s">
        <v>297</v>
      </c>
      <c r="U7" s="306" t="s">
        <v>298</v>
      </c>
      <c r="V7" s="306" t="s">
        <v>299</v>
      </c>
      <c r="W7" s="306" t="s">
        <v>300</v>
      </c>
      <c r="X7" s="306" t="s">
        <v>301</v>
      </c>
      <c r="Y7" s="306" t="s">
        <v>302</v>
      </c>
      <c r="Z7" s="306" t="s">
        <v>303</v>
      </c>
      <c r="AA7" s="306" t="s">
        <v>304</v>
      </c>
      <c r="AB7" s="302" t="s">
        <v>305</v>
      </c>
      <c r="AC7" s="308" t="s">
        <v>306</v>
      </c>
      <c r="AD7" s="308" t="s">
        <v>307</v>
      </c>
      <c r="AE7" s="308" t="s">
        <v>308</v>
      </c>
      <c r="AF7" s="308" t="s">
        <v>309</v>
      </c>
      <c r="AG7" s="308" t="s">
        <v>310</v>
      </c>
      <c r="AH7" s="308" t="s">
        <v>311</v>
      </c>
      <c r="AI7" s="308" t="s">
        <v>312</v>
      </c>
      <c r="AJ7" s="308" t="s">
        <v>313</v>
      </c>
      <c r="AK7" s="308" t="s">
        <v>314</v>
      </c>
      <c r="AL7" s="301" t="s">
        <v>315</v>
      </c>
      <c r="AN7" s="299" t="s">
        <v>316</v>
      </c>
      <c r="AO7" s="306" t="s">
        <v>317</v>
      </c>
      <c r="AP7" s="306" t="s">
        <v>318</v>
      </c>
      <c r="AQ7" s="300" t="s">
        <v>319</v>
      </c>
      <c r="AR7" s="301" t="s">
        <v>320</v>
      </c>
      <c r="AT7" s="299" t="s">
        <v>321</v>
      </c>
      <c r="AU7" s="306" t="s">
        <v>322</v>
      </c>
      <c r="AV7" s="306" t="s">
        <v>323</v>
      </c>
      <c r="AW7" s="306" t="s">
        <v>324</v>
      </c>
      <c r="AX7" s="306" t="s">
        <v>325</v>
      </c>
      <c r="AY7" s="306" t="s">
        <v>326</v>
      </c>
      <c r="AZ7" s="306" t="s">
        <v>327</v>
      </c>
      <c r="BA7" s="300" t="s">
        <v>328</v>
      </c>
      <c r="BB7" s="301" t="s">
        <v>329</v>
      </c>
      <c r="BD7" s="299" t="s">
        <v>330</v>
      </c>
      <c r="BE7" s="306" t="s">
        <v>331</v>
      </c>
      <c r="BF7" s="306" t="s">
        <v>332</v>
      </c>
      <c r="BG7" s="306" t="s">
        <v>333</v>
      </c>
      <c r="BH7" s="306" t="s">
        <v>334</v>
      </c>
      <c r="BI7" s="306" t="s">
        <v>335</v>
      </c>
      <c r="BJ7" s="306" t="s">
        <v>336</v>
      </c>
      <c r="BK7" s="300" t="s">
        <v>337</v>
      </c>
      <c r="BL7" s="301" t="s">
        <v>338</v>
      </c>
      <c r="BN7" s="299" t="s">
        <v>339</v>
      </c>
      <c r="BO7" s="306" t="s">
        <v>340</v>
      </c>
      <c r="BP7" s="306" t="s">
        <v>341</v>
      </c>
      <c r="BQ7" s="300" t="s">
        <v>342</v>
      </c>
      <c r="BR7" s="301" t="s">
        <v>343</v>
      </c>
      <c r="BT7" s="303" t="s">
        <v>344</v>
      </c>
      <c r="BU7" s="307" t="s">
        <v>345</v>
      </c>
      <c r="BV7" s="304" t="s">
        <v>346</v>
      </c>
      <c r="BW7" s="306" t="s">
        <v>347</v>
      </c>
      <c r="BX7" s="304" t="s">
        <v>348</v>
      </c>
      <c r="BY7" s="306" t="s">
        <v>349</v>
      </c>
      <c r="BZ7" s="305" t="s">
        <v>350</v>
      </c>
      <c r="CB7" s="303" t="s">
        <v>351</v>
      </c>
      <c r="CC7" s="305" t="s">
        <v>352</v>
      </c>
      <c r="CD7" s="273"/>
      <c r="CE7" s="273"/>
      <c r="CF7" s="273"/>
      <c r="CG7" s="273"/>
    </row>
    <row r="8" spans="2:86" ht="24.95" customHeight="1">
      <c r="B8" s="198"/>
      <c r="C8" s="75" t="s">
        <v>166</v>
      </c>
      <c r="D8" s="203"/>
      <c r="E8" s="75"/>
      <c r="F8" s="76"/>
      <c r="G8" s="107"/>
      <c r="H8" s="107"/>
      <c r="I8" s="78"/>
      <c r="J8" s="103"/>
      <c r="K8" s="76"/>
      <c r="L8" s="107"/>
      <c r="M8" s="107"/>
      <c r="N8" s="78"/>
      <c r="O8" s="103"/>
      <c r="P8" s="76"/>
      <c r="Q8" s="77"/>
      <c r="R8" s="121"/>
      <c r="S8" s="128"/>
      <c r="T8" s="77"/>
      <c r="U8" s="77"/>
      <c r="V8" s="77"/>
      <c r="W8" s="77"/>
      <c r="X8" s="77"/>
      <c r="Y8" s="77"/>
      <c r="Z8" s="107"/>
      <c r="AA8" s="107"/>
      <c r="AB8" s="128"/>
      <c r="AC8" s="139"/>
      <c r="AD8" s="139"/>
      <c r="AE8" s="139"/>
      <c r="AF8" s="139"/>
      <c r="AG8" s="139"/>
      <c r="AH8" s="139"/>
      <c r="AI8" s="139"/>
      <c r="AJ8" s="139"/>
      <c r="AK8" s="139"/>
      <c r="AL8" s="78"/>
      <c r="AM8" s="103"/>
      <c r="AN8" s="76"/>
      <c r="AO8" s="107"/>
      <c r="AP8" s="107"/>
      <c r="AQ8" s="107"/>
      <c r="AR8" s="78"/>
      <c r="AS8" s="103"/>
      <c r="AT8" s="76"/>
      <c r="AU8" s="107"/>
      <c r="AV8" s="107"/>
      <c r="AW8" s="107"/>
      <c r="AX8" s="107"/>
      <c r="AY8" s="107"/>
      <c r="AZ8" s="107"/>
      <c r="BA8" s="107"/>
      <c r="BB8" s="78"/>
      <c r="BC8" s="103"/>
      <c r="BD8" s="183"/>
      <c r="BE8" s="107"/>
      <c r="BF8" s="77"/>
      <c r="BG8" s="107"/>
      <c r="BH8" s="107"/>
      <c r="BI8" s="107"/>
      <c r="BJ8" s="107"/>
      <c r="BK8" s="107"/>
      <c r="BL8" s="78"/>
      <c r="BM8" s="103"/>
      <c r="BN8" s="76"/>
      <c r="BO8" s="107"/>
      <c r="BP8" s="107"/>
      <c r="BQ8" s="107"/>
      <c r="BR8" s="78"/>
      <c r="BS8" s="103"/>
      <c r="BT8" s="76"/>
      <c r="BU8" s="121"/>
      <c r="BV8" s="263"/>
      <c r="BW8" s="77"/>
      <c r="BX8" s="263"/>
      <c r="BY8" s="77"/>
      <c r="BZ8" s="79"/>
      <c r="CA8" s="103"/>
      <c r="CB8" s="76"/>
      <c r="CC8" s="79"/>
      <c r="CD8" s="77"/>
      <c r="CE8" s="77"/>
      <c r="CF8" s="77"/>
      <c r="CG8" s="77"/>
      <c r="CH8" s="2"/>
    </row>
    <row r="9" spans="2:86" ht="15.75">
      <c r="B9" s="198">
        <v>2000</v>
      </c>
      <c r="C9" s="60" t="s">
        <v>9</v>
      </c>
      <c r="D9" s="204"/>
      <c r="F9" s="80">
        <v>293</v>
      </c>
      <c r="G9" s="163"/>
      <c r="H9" s="164">
        <v>0</v>
      </c>
      <c r="I9" s="94">
        <f t="shared" ref="I9:I58" si="0">SUM(F9:H9)</f>
        <v>293</v>
      </c>
      <c r="J9" s="103"/>
      <c r="K9" s="80">
        <v>951775.52262444759</v>
      </c>
      <c r="L9" s="163"/>
      <c r="M9" s="163"/>
      <c r="N9" s="94">
        <f t="shared" ref="N9:N58" si="1">SUM(K9:M9)</f>
        <v>951775.52262444759</v>
      </c>
      <c r="O9" s="103"/>
      <c r="P9" s="80">
        <f>P$76*'TABLE 4 - October 2016 Dataset'!F9</f>
        <v>804868.07</v>
      </c>
      <c r="Q9" s="160"/>
      <c r="R9" s="161"/>
      <c r="S9" s="162">
        <f>SUM(P9:R9)</f>
        <v>804868.07</v>
      </c>
      <c r="T9" s="165">
        <f>T$76*'TABLE 4 - October 2016 Dataset'!I9</f>
        <v>4399.9999999999991</v>
      </c>
      <c r="U9" s="165">
        <f>U$76*'TABLE 4 - October 2016 Dataset'!J9</f>
        <v>13889.541984732823</v>
      </c>
      <c r="V9" s="165">
        <f>V$76*'TABLE 4 - October 2016 Dataset'!K9</f>
        <v>0</v>
      </c>
      <c r="W9" s="165">
        <f>W$76*'TABLE 4 - October 2016 Dataset'!L9</f>
        <v>0</v>
      </c>
      <c r="X9" s="165">
        <f>X$76*'TABLE 4 - October 2016 Dataset'!M9</f>
        <v>10139.999999999998</v>
      </c>
      <c r="Y9" s="165">
        <f>Y$76*'TABLE 4 - October 2016 Dataset'!N9</f>
        <v>3240.0000000000045</v>
      </c>
      <c r="Z9" s="165">
        <f>Z$76*'TABLE 4 - October 2016 Dataset'!O9</f>
        <v>0</v>
      </c>
      <c r="AA9" s="165">
        <f>AA$76*'TABLE 4 - October 2016 Dataset'!P9</f>
        <v>5199.9999999999991</v>
      </c>
      <c r="AB9" s="162">
        <f>SUM(T9:AA9)</f>
        <v>36869.541984732823</v>
      </c>
      <c r="AC9" s="140">
        <f>AC$76*'TABLE 4 - October 2016 Dataset'!Q9</f>
        <v>66018.910256410294</v>
      </c>
      <c r="AD9" s="140">
        <f>AD$76*'TABLE 4 - October 2016 Dataset'!R9</f>
        <v>3224.2521367521413</v>
      </c>
      <c r="AE9" s="140">
        <f>AE$76*'TABLE 4 - October 2016 Dataset'!S9</f>
        <v>0</v>
      </c>
      <c r="AF9" s="140">
        <f>AF$76</f>
        <v>110000</v>
      </c>
      <c r="AG9" s="140">
        <f>IF('TABLE 4 - October 2016 Dataset'!X9="No",0,"*CHECK*")</f>
        <v>0</v>
      </c>
      <c r="AH9" s="140">
        <f>'TABLE 4 - October 2016 Dataset'!Y9</f>
        <v>29040</v>
      </c>
      <c r="AI9" s="170">
        <f>IF('TABLE 4 - October 2016 Dataset'!Z9&gt;0,('TABLE 4 - October 2016 Dataset'!Z9*(1+AI$79))-((AI$76*SUM('TABLE 4 - October 2016 Dataset'!F9:H9))+AI$77),0)</f>
        <v>0</v>
      </c>
      <c r="AJ9" s="166" t="str">
        <f>IF('TABLE 4 - October 2016 Dataset'!AA9="Yes",'TABLE 1 - 2018-19 Provisional'!AJ$76*SUM('TABLE 4 - October 2016 Dataset'!F9:H9),"")</f>
        <v/>
      </c>
      <c r="AK9" s="140">
        <f>AK$76*SUM(S9,AB9:AJ9)</f>
        <v>0</v>
      </c>
      <c r="AL9" s="94">
        <f>SUM(S9,AB9:AK9)</f>
        <v>1050020.7743778951</v>
      </c>
      <c r="AM9" s="103"/>
      <c r="AN9" s="80">
        <f>AL9-SUM(AH9:AJ9)</f>
        <v>1020980.7743778951</v>
      </c>
      <c r="AO9" s="165">
        <f>AN9/SUM('TABLE 4 - October 2016 Dataset'!F9:H9)</f>
        <v>3484.5760217675597</v>
      </c>
      <c r="AP9" s="165">
        <f t="shared" ref="AP9:AP60" si="2">IF(AO9&lt;AP$76,AP$76-AO9,0)</f>
        <v>0</v>
      </c>
      <c r="AQ9" s="165">
        <f>AP9*SUM('TABLE 4 - October 2016 Dataset'!F9:H9)</f>
        <v>0</v>
      </c>
      <c r="AR9" s="94">
        <f>AL9+AQ9</f>
        <v>1050020.7743778951</v>
      </c>
      <c r="AS9" s="103"/>
      <c r="AT9" s="80">
        <f>N9-(AF9+AG9+'TABLE 4 - October 2016 Dataset'!Y9)</f>
        <v>812735.52262444759</v>
      </c>
      <c r="AU9" s="187">
        <f>AR9-(AF9+AG9+AH9)</f>
        <v>910980.77437789505</v>
      </c>
      <c r="AV9" s="165">
        <f>AT9/I9</f>
        <v>2773.8413741448721</v>
      </c>
      <c r="AW9" s="165">
        <f>AU9/SUM('TABLE 4 - October 2016 Dataset'!F9:H9)</f>
        <v>3109.1494006071503</v>
      </c>
      <c r="AX9" s="173">
        <f>(AW9/AV9)-1</f>
        <v>0.12088219232278474</v>
      </c>
      <c r="AY9" s="173">
        <f>IF(AX9&lt;AY$76,AY$76-AX9,0)</f>
        <v>0</v>
      </c>
      <c r="AZ9" s="175">
        <f>AY9*AV9</f>
        <v>0</v>
      </c>
      <c r="BA9" s="165">
        <f>AZ9*SUM('TABLE 4 - October 2016 Dataset'!F9:H9)</f>
        <v>0</v>
      </c>
      <c r="BB9" s="94">
        <f>AR9+BA9</f>
        <v>1050020.7743778951</v>
      </c>
      <c r="BC9" s="103"/>
      <c r="BD9" s="184">
        <f>'TABLE 3 - Target Illustrative'!AR9-(AF9+AG9+AH9)</f>
        <v>915500</v>
      </c>
      <c r="BE9" s="165">
        <f>BD9/SUM('TABLE 4 - October 2016 Dataset'!F9:H9)</f>
        <v>3124.5733788395905</v>
      </c>
      <c r="BF9" s="173">
        <f>BE9/AV9-1</f>
        <v>0.12644270431752536</v>
      </c>
      <c r="BG9" s="185">
        <f>IF(BF9&gt;AY$76,BG$76*BF9,"            NA")</f>
        <v>2.5288540863505071E-2</v>
      </c>
      <c r="BH9" s="185">
        <f>IF(BF9&gt;AY$76,IF(BG9&gt;BH$76,BG9,IF(AX9&lt;BH$76,AX9,BH$76)),AY$76)</f>
        <v>0.03</v>
      </c>
      <c r="BI9" s="173">
        <f>IF(AX9&gt;BH9,BH9-AX9,0)</f>
        <v>-9.0882192322784744E-2</v>
      </c>
      <c r="BJ9" s="175">
        <f>BI9*AV9</f>
        <v>-252.09278523793179</v>
      </c>
      <c r="BK9" s="165">
        <f>BJ9*SUM('TABLE 4 - October 2016 Dataset'!F9:H9)</f>
        <v>-73863.186074714016</v>
      </c>
      <c r="BL9" s="94">
        <f>BB9+BK9</f>
        <v>976157.58830318099</v>
      </c>
      <c r="BM9" s="103"/>
      <c r="BN9" s="179">
        <f>BL9-SUM(AH9:AJ9)</f>
        <v>947117.58830318099</v>
      </c>
      <c r="BO9" s="175">
        <f>BN9/SUM('TABLE 4 - October 2016 Dataset'!F9:H9)</f>
        <v>3232.4832365296279</v>
      </c>
      <c r="BP9" s="175">
        <f>IF(BO9&lt;BP$76,BP$76-BO9,0)</f>
        <v>67.516763470372098</v>
      </c>
      <c r="BQ9" s="175">
        <f>BP9*SUM('TABLE 4 - October 2016 Dataset'!F9:H9)</f>
        <v>19782.411696819025</v>
      </c>
      <c r="BR9" s="94">
        <f>BL9+BQ9</f>
        <v>995940</v>
      </c>
      <c r="BS9" s="103"/>
      <c r="BT9" s="80">
        <f>N9</f>
        <v>951775.52262444759</v>
      </c>
      <c r="BU9" s="122">
        <f>BT9/I9</f>
        <v>3248.3806232916299</v>
      </c>
      <c r="BV9" s="264">
        <f>BR9</f>
        <v>995940</v>
      </c>
      <c r="BW9" s="81">
        <f>BV9/SUM('TABLE 4 - October 2016 Dataset'!F9:H9)</f>
        <v>3399.1126279863483</v>
      </c>
      <c r="BX9" s="264">
        <f>BV9-BT9</f>
        <v>44164.477375552407</v>
      </c>
      <c r="BY9" s="81">
        <f>BW9-BU9</f>
        <v>150.7320046947184</v>
      </c>
      <c r="BZ9" s="269">
        <f>BY9/BU9</f>
        <v>4.6402199180088546E-2</v>
      </c>
      <c r="CA9" s="103"/>
      <c r="CB9" s="80">
        <f>'TABLE 5 - DfE Published Figures'!J8</f>
        <v>996000</v>
      </c>
      <c r="CC9" s="84">
        <f>ROUND(BR9,-3)-CB9</f>
        <v>0</v>
      </c>
      <c r="CD9" s="81"/>
      <c r="CE9" s="81"/>
      <c r="CF9" s="81"/>
      <c r="CG9" s="81"/>
      <c r="CH9" s="2"/>
    </row>
    <row r="10" spans="2:86" ht="15.75">
      <c r="B10" s="198">
        <v>3229</v>
      </c>
      <c r="C10" s="60" t="s">
        <v>11</v>
      </c>
      <c r="D10" s="204"/>
      <c r="F10" s="80">
        <v>248</v>
      </c>
      <c r="G10" s="163"/>
      <c r="H10" s="164">
        <v>0</v>
      </c>
      <c r="I10" s="94">
        <f t="shared" si="0"/>
        <v>248</v>
      </c>
      <c r="J10" s="103"/>
      <c r="K10" s="80">
        <v>837362.4617910987</v>
      </c>
      <c r="L10" s="163"/>
      <c r="M10" s="163"/>
      <c r="N10" s="94">
        <f t="shared" si="1"/>
        <v>837362.4617910987</v>
      </c>
      <c r="O10" s="103"/>
      <c r="P10" s="80">
        <f>P$76*'TABLE 4 - October 2016 Dataset'!F10</f>
        <v>681253.5199999999</v>
      </c>
      <c r="Q10" s="160"/>
      <c r="R10" s="161"/>
      <c r="S10" s="162">
        <f t="shared" ref="S10:S58" si="3">SUM(P10:R10)</f>
        <v>681253.5199999999</v>
      </c>
      <c r="T10" s="165">
        <f>T$76*'TABLE 4 - October 2016 Dataset'!I10</f>
        <v>3519.9999999999959</v>
      </c>
      <c r="U10" s="165">
        <f>U$76*'TABLE 4 - October 2016 Dataset'!J10</f>
        <v>9180</v>
      </c>
      <c r="V10" s="165">
        <f>V$76*'TABLE 4 - October 2016 Dataset'!K10</f>
        <v>0</v>
      </c>
      <c r="W10" s="165">
        <f>W$76*'TABLE 4 - October 2016 Dataset'!L10</f>
        <v>0</v>
      </c>
      <c r="X10" s="165">
        <f>X$76*'TABLE 4 - October 2016 Dataset'!M10</f>
        <v>783.15789473684174</v>
      </c>
      <c r="Y10" s="165">
        <f>Y$76*'TABLE 4 - October 2016 Dataset'!N10</f>
        <v>0</v>
      </c>
      <c r="Z10" s="165">
        <f>Z$76*'TABLE 4 - October 2016 Dataset'!O10</f>
        <v>0</v>
      </c>
      <c r="AA10" s="165">
        <f>AA$76*'TABLE 4 - October 2016 Dataset'!P10</f>
        <v>200.80971659919041</v>
      </c>
      <c r="AB10" s="162">
        <f t="shared" ref="AB10:AB58" si="4">SUM(T10:AA10)</f>
        <v>13683.967611336029</v>
      </c>
      <c r="AC10" s="140">
        <f>AC$76*'TABLE 4 - October 2016 Dataset'!Q10</f>
        <v>72520.83958020994</v>
      </c>
      <c r="AD10" s="140">
        <f>AD$76*'TABLE 4 - October 2016 Dataset'!R10</f>
        <v>0</v>
      </c>
      <c r="AE10" s="140">
        <f>AE$76*'TABLE 4 - October 2016 Dataset'!S10</f>
        <v>0</v>
      </c>
      <c r="AF10" s="140">
        <f t="shared" ref="AF10:AF58" si="5">AF$76</f>
        <v>110000</v>
      </c>
      <c r="AG10" s="140">
        <f>IF('TABLE 4 - October 2016 Dataset'!X10="No",0,"*CHECK*")</f>
        <v>0</v>
      </c>
      <c r="AH10" s="140">
        <f>'TABLE 4 - October 2016 Dataset'!Y10</f>
        <v>12225.55</v>
      </c>
      <c r="AI10" s="170">
        <f>IF('TABLE 4 - October 2016 Dataset'!Z10&gt;0,('TABLE 4 - October 2016 Dataset'!Z10*(1+AI$79))-((AI$76*SUM('TABLE 4 - October 2016 Dataset'!F10:H10))+AI$77),0)</f>
        <v>0</v>
      </c>
      <c r="AJ10" s="166" t="str">
        <f>IF('TABLE 4 - October 2016 Dataset'!AA10="Yes",'TABLE 1 - 2018-19 Provisional'!AJ$76*SUM('TABLE 4 - October 2016 Dataset'!F10:H10),"")</f>
        <v/>
      </c>
      <c r="AK10" s="140">
        <f t="shared" ref="AK10:AK58" si="6">AK$76*SUM(S10,AB10:AJ10)</f>
        <v>0</v>
      </c>
      <c r="AL10" s="94">
        <f t="shared" ref="AL10:AL58" si="7">SUM(S10,AB10:AK10)</f>
        <v>889683.87719154591</v>
      </c>
      <c r="AM10" s="103"/>
      <c r="AN10" s="80">
        <f t="shared" ref="AN10:AN58" si="8">AL10-SUM(AH10:AJ10)</f>
        <v>877458.32719154586</v>
      </c>
      <c r="AO10" s="165">
        <f>AN10/SUM('TABLE 4 - October 2016 Dataset'!F10:H10)</f>
        <v>3538.1384160949428</v>
      </c>
      <c r="AP10" s="165">
        <f t="shared" si="2"/>
        <v>0</v>
      </c>
      <c r="AQ10" s="165">
        <f>AP10*SUM('TABLE 4 - October 2016 Dataset'!F10:H10)</f>
        <v>0</v>
      </c>
      <c r="AR10" s="94">
        <f t="shared" ref="AR10:AR58" si="9">AL10+AQ10</f>
        <v>889683.87719154591</v>
      </c>
      <c r="AS10" s="103"/>
      <c r="AT10" s="80">
        <f>N10-(AF10+AG10+'TABLE 4 - October 2016 Dataset'!Y10)</f>
        <v>715136.91179109865</v>
      </c>
      <c r="AU10" s="187">
        <f t="shared" ref="AU10:AU58" si="10">AR10-(AF10+AG10+AH10)</f>
        <v>767458.32719154586</v>
      </c>
      <c r="AV10" s="165">
        <f t="shared" ref="AV10:AV58" si="11">AT10/I10</f>
        <v>2883.6165798028173</v>
      </c>
      <c r="AW10" s="165">
        <f>AU10/SUM('TABLE 4 - October 2016 Dataset'!F10:H10)</f>
        <v>3094.5900289981687</v>
      </c>
      <c r="AX10" s="173">
        <f t="shared" ref="AX10:AX58" si="12">(AW10/AV10)-1</f>
        <v>7.3162795176388462E-2</v>
      </c>
      <c r="AY10" s="173">
        <f t="shared" ref="AY10:AY58" si="13">IF(AX10&lt;AY$76,AY$76-AX10,0)</f>
        <v>0</v>
      </c>
      <c r="AZ10" s="175">
        <f t="shared" ref="AZ10:AZ58" si="14">AY10*AV10</f>
        <v>0</v>
      </c>
      <c r="BA10" s="165">
        <f>AZ10*SUM('TABLE 4 - October 2016 Dataset'!F10:H10)</f>
        <v>0</v>
      </c>
      <c r="BB10" s="94">
        <f t="shared" ref="BB10:BB58" si="15">AR10+BA10</f>
        <v>889683.87719154591</v>
      </c>
      <c r="BC10" s="103"/>
      <c r="BD10" s="184">
        <f>'TABLE 3 - Target Illustrative'!AR10-(AF10+AG10+AH10)</f>
        <v>767458.32719154586</v>
      </c>
      <c r="BE10" s="165">
        <f>BD10/SUM('TABLE 4 - October 2016 Dataset'!F10:H10)</f>
        <v>3094.5900289981687</v>
      </c>
      <c r="BF10" s="173">
        <f t="shared" ref="BF10:BF60" si="16">BE10/AV10-1</f>
        <v>7.3162795176388462E-2</v>
      </c>
      <c r="BG10" s="185">
        <f t="shared" ref="BG10:BG58" si="17">IF(BF10&gt;AY$76,BG$76*BF10,"            NA")</f>
        <v>1.4632559035277694E-2</v>
      </c>
      <c r="BH10" s="185">
        <f t="shared" ref="BH10:BH58" si="18">IF(BF10&gt;AY$76,IF(BG10&gt;BH$76,BG10,IF(AX10&lt;BH$76,AX10,BH$76)),AY$76)</f>
        <v>0.03</v>
      </c>
      <c r="BI10" s="173">
        <f t="shared" ref="BI10:BI58" si="19">IF(AX10&gt;BH10,BH10-AX10,0)</f>
        <v>-4.3162795176388463E-2</v>
      </c>
      <c r="BJ10" s="175">
        <f t="shared" ref="BJ10:BJ58" si="20">BI10*AV10</f>
        <v>-124.46495180126684</v>
      </c>
      <c r="BK10" s="165">
        <f>BJ10*SUM('TABLE 4 - October 2016 Dataset'!F10:H10)</f>
        <v>-30867.308046714174</v>
      </c>
      <c r="BL10" s="94">
        <f t="shared" ref="BL10:BL58" si="21">BB10+BK10</f>
        <v>858816.56914483174</v>
      </c>
      <c r="BM10" s="103"/>
      <c r="BN10" s="179">
        <f t="shared" ref="BN10:BN58" si="22">BL10-SUM(AH10:AJ10)</f>
        <v>846591.01914483169</v>
      </c>
      <c r="BO10" s="175">
        <f>BN10/SUM('TABLE 4 - October 2016 Dataset'!F10:H10)</f>
        <v>3413.6734642936763</v>
      </c>
      <c r="BP10" s="175">
        <f t="shared" ref="BP10:BP60" si="23">IF(BO10&lt;BP$76,BP$76-BO10,0)</f>
        <v>0</v>
      </c>
      <c r="BQ10" s="175">
        <f>BP10*SUM('TABLE 4 - October 2016 Dataset'!F10:H10)</f>
        <v>0</v>
      </c>
      <c r="BR10" s="94">
        <f t="shared" ref="BR10:BR58" si="24">BL10+BQ10</f>
        <v>858816.56914483174</v>
      </c>
      <c r="BS10" s="103"/>
      <c r="BT10" s="80">
        <f t="shared" ref="BT10:BT58" si="25">N10</f>
        <v>837362.4617910987</v>
      </c>
      <c r="BU10" s="122">
        <f t="shared" ref="BU10:BU60" si="26">BT10/I10</f>
        <v>3376.4615394802368</v>
      </c>
      <c r="BV10" s="264">
        <f t="shared" ref="BV10:BV58" si="27">BR10</f>
        <v>858816.56914483174</v>
      </c>
      <c r="BW10" s="81">
        <f>BV10/SUM('TABLE 4 - October 2016 Dataset'!F10:H10)</f>
        <v>3462.9700368743215</v>
      </c>
      <c r="BX10" s="264">
        <f t="shared" ref="BX10:BX58" si="28">BV10-BT10</f>
        <v>21454.107353733038</v>
      </c>
      <c r="BY10" s="81">
        <f t="shared" ref="BY10:BY60" si="29">BW10-BU10</f>
        <v>86.50849739408477</v>
      </c>
      <c r="BZ10" s="269">
        <f t="shared" ref="BZ10:BZ60" si="30">BY10/BU10</f>
        <v>2.5621052211778385E-2</v>
      </c>
      <c r="CA10" s="103"/>
      <c r="CB10" s="80">
        <f>'TABLE 5 - DfE Published Figures'!J9</f>
        <v>849000</v>
      </c>
      <c r="CC10" s="84">
        <f t="shared" ref="CC10:CC58" si="31">ROUND(BR10,-3)-CB10</f>
        <v>10000</v>
      </c>
      <c r="CD10" s="81"/>
      <c r="CE10" s="81"/>
      <c r="CF10" s="81"/>
      <c r="CG10" s="81"/>
      <c r="CH10" s="2"/>
    </row>
    <row r="11" spans="2:86" ht="15.75">
      <c r="B11" s="198">
        <v>2431</v>
      </c>
      <c r="C11" s="60" t="s">
        <v>13</v>
      </c>
      <c r="D11" s="204" t="s">
        <v>70</v>
      </c>
      <c r="F11" s="80">
        <v>195</v>
      </c>
      <c r="G11" s="163"/>
      <c r="H11" s="164">
        <v>-1</v>
      </c>
      <c r="I11" s="94">
        <f t="shared" si="0"/>
        <v>194</v>
      </c>
      <c r="J11" s="103"/>
      <c r="K11" s="80">
        <v>724227.27044204972</v>
      </c>
      <c r="L11" s="163"/>
      <c r="M11" s="163"/>
      <c r="N11" s="94">
        <f t="shared" si="1"/>
        <v>724227.27044204972</v>
      </c>
      <c r="O11" s="103"/>
      <c r="P11" s="80">
        <f>P$76*'TABLE 4 - October 2016 Dataset'!F11</f>
        <v>532916.05999999994</v>
      </c>
      <c r="Q11" s="160"/>
      <c r="R11" s="161"/>
      <c r="S11" s="162">
        <f t="shared" si="3"/>
        <v>532916.05999999994</v>
      </c>
      <c r="T11" s="165">
        <f>T$76*'TABLE 4 - October 2016 Dataset'!I11</f>
        <v>10999.999999999975</v>
      </c>
      <c r="U11" s="165">
        <f>U$76*'TABLE 4 - October 2016 Dataset'!J11</f>
        <v>17728.615384615387</v>
      </c>
      <c r="V11" s="165">
        <f>V$76*'TABLE 4 - October 2016 Dataset'!K11</f>
        <v>0</v>
      </c>
      <c r="W11" s="165">
        <f>W$76*'TABLE 4 - October 2016 Dataset'!L11</f>
        <v>2955.2331606217645</v>
      </c>
      <c r="X11" s="165">
        <f>X$76*'TABLE 4 - October 2016 Dataset'!M11</f>
        <v>0</v>
      </c>
      <c r="Y11" s="165">
        <f>Y$76*'TABLE 4 - October 2016 Dataset'!N11</f>
        <v>361.86528497409341</v>
      </c>
      <c r="Z11" s="165">
        <f>Z$76*'TABLE 4 - October 2016 Dataset'!O11</f>
        <v>482.48704663212277</v>
      </c>
      <c r="AA11" s="165">
        <f>AA$76*'TABLE 4 - October 2016 Dataset'!P11</f>
        <v>11660.103626943008</v>
      </c>
      <c r="AB11" s="162">
        <f t="shared" si="4"/>
        <v>44188.304503786349</v>
      </c>
      <c r="AC11" s="140">
        <f>AC$76*'TABLE 4 - October 2016 Dataset'!Q11</f>
        <v>54826.234854728114</v>
      </c>
      <c r="AD11" s="140">
        <f>AD$76*'TABLE 4 - October 2016 Dataset'!R11</f>
        <v>12414.852071005938</v>
      </c>
      <c r="AE11" s="140">
        <f>AE$76*'TABLE 4 - October 2016 Dataset'!S11</f>
        <v>4692.5999999999949</v>
      </c>
      <c r="AF11" s="140">
        <f t="shared" si="5"/>
        <v>110000</v>
      </c>
      <c r="AG11" s="140">
        <f>IF('TABLE 4 - October 2016 Dataset'!X11="No",0,"*CHECK*")</f>
        <v>0</v>
      </c>
      <c r="AH11" s="140">
        <f>'TABLE 4 - October 2016 Dataset'!Y11</f>
        <v>2103.9299999999998</v>
      </c>
      <c r="AI11" s="170">
        <f>IF('TABLE 4 - October 2016 Dataset'!Z11&gt;0,('TABLE 4 - October 2016 Dataset'!Z11*(1+AI$79))-((AI$76*SUM('TABLE 4 - October 2016 Dataset'!F11:H11))+AI$77),0)</f>
        <v>0</v>
      </c>
      <c r="AJ11" s="166" t="str">
        <f>IF('TABLE 4 - October 2016 Dataset'!AA11="Yes",'TABLE 1 - 2018-19 Provisional'!AJ$76*SUM('TABLE 4 - October 2016 Dataset'!F11:H11),"")</f>
        <v/>
      </c>
      <c r="AK11" s="140">
        <f t="shared" si="6"/>
        <v>0</v>
      </c>
      <c r="AL11" s="94">
        <f t="shared" si="7"/>
        <v>761141.98142952041</v>
      </c>
      <c r="AM11" s="103"/>
      <c r="AN11" s="80">
        <f t="shared" si="8"/>
        <v>759038.05142952036</v>
      </c>
      <c r="AO11" s="165">
        <f>AN11/SUM('TABLE 4 - October 2016 Dataset'!F11:H11)</f>
        <v>3912.5672754098987</v>
      </c>
      <c r="AP11" s="165">
        <f t="shared" si="2"/>
        <v>0</v>
      </c>
      <c r="AQ11" s="165">
        <f>AP11*SUM('TABLE 4 - October 2016 Dataset'!F11:H11)</f>
        <v>0</v>
      </c>
      <c r="AR11" s="94">
        <f t="shared" si="9"/>
        <v>761141.98142952041</v>
      </c>
      <c r="AS11" s="103"/>
      <c r="AT11" s="80">
        <f>N11-(AF11+AG11+'TABLE 4 - October 2016 Dataset'!Y11)</f>
        <v>612123.34044204978</v>
      </c>
      <c r="AU11" s="187">
        <f t="shared" si="10"/>
        <v>649038.05142952036</v>
      </c>
      <c r="AV11" s="165">
        <f t="shared" si="11"/>
        <v>3155.2749507322155</v>
      </c>
      <c r="AW11" s="165">
        <f>AU11/SUM('TABLE 4 - October 2016 Dataset'!F11:H11)</f>
        <v>3345.5569661315481</v>
      </c>
      <c r="AX11" s="173">
        <f t="shared" si="12"/>
        <v>6.0306001337593562E-2</v>
      </c>
      <c r="AY11" s="173">
        <f t="shared" si="13"/>
        <v>0</v>
      </c>
      <c r="AZ11" s="175">
        <f t="shared" si="14"/>
        <v>0</v>
      </c>
      <c r="BA11" s="165">
        <f>AZ11*SUM('TABLE 4 - October 2016 Dataset'!F11:H11)</f>
        <v>0</v>
      </c>
      <c r="BB11" s="94">
        <f t="shared" si="15"/>
        <v>761141.98142952041</v>
      </c>
      <c r="BC11" s="103"/>
      <c r="BD11" s="184">
        <f>'TABLE 3 - Target Illustrative'!AR11-(AF11+AG11+AH11)</f>
        <v>649038.05142952036</v>
      </c>
      <c r="BE11" s="165">
        <f>BD11/SUM('TABLE 4 - October 2016 Dataset'!F11:H11)</f>
        <v>3345.5569661315481</v>
      </c>
      <c r="BF11" s="173">
        <f t="shared" si="16"/>
        <v>6.0306001337593562E-2</v>
      </c>
      <c r="BG11" s="185">
        <f t="shared" si="17"/>
        <v>1.2061200267518713E-2</v>
      </c>
      <c r="BH11" s="185">
        <f t="shared" si="18"/>
        <v>0.03</v>
      </c>
      <c r="BI11" s="173">
        <f t="shared" si="19"/>
        <v>-3.0306001337593563E-2</v>
      </c>
      <c r="BJ11" s="175">
        <f t="shared" si="20"/>
        <v>-95.623766877365995</v>
      </c>
      <c r="BK11" s="165">
        <f>BJ11*SUM('TABLE 4 - October 2016 Dataset'!F11:H11)</f>
        <v>-18551.010774209004</v>
      </c>
      <c r="BL11" s="94">
        <f t="shared" si="21"/>
        <v>742590.97065531136</v>
      </c>
      <c r="BM11" s="103"/>
      <c r="BN11" s="179">
        <f t="shared" si="22"/>
        <v>740487.04065531131</v>
      </c>
      <c r="BO11" s="175">
        <f>BN11/SUM('TABLE 4 - October 2016 Dataset'!F11:H11)</f>
        <v>3816.9435085325326</v>
      </c>
      <c r="BP11" s="175">
        <f t="shared" si="23"/>
        <v>0</v>
      </c>
      <c r="BQ11" s="175">
        <f>BP11*SUM('TABLE 4 - October 2016 Dataset'!F11:H11)</f>
        <v>0</v>
      </c>
      <c r="BR11" s="94">
        <f t="shared" si="24"/>
        <v>742590.97065531136</v>
      </c>
      <c r="BS11" s="103"/>
      <c r="BT11" s="80">
        <f t="shared" si="25"/>
        <v>724227.27044204972</v>
      </c>
      <c r="BU11" s="122">
        <f t="shared" si="26"/>
        <v>3733.1302600105655</v>
      </c>
      <c r="BV11" s="264">
        <f t="shared" si="27"/>
        <v>742590.97065531136</v>
      </c>
      <c r="BW11" s="81">
        <f>BV11/SUM('TABLE 4 - October 2016 Dataset'!F11:H11)</f>
        <v>3827.7885085325329</v>
      </c>
      <c r="BX11" s="264">
        <f t="shared" si="28"/>
        <v>18363.700213261647</v>
      </c>
      <c r="BY11" s="81">
        <f t="shared" si="29"/>
        <v>94.65824852196738</v>
      </c>
      <c r="BZ11" s="269">
        <f t="shared" si="30"/>
        <v>2.5356267241984608E-2</v>
      </c>
      <c r="CA11" s="103"/>
      <c r="CB11" s="80">
        <f>'TABLE 5 - DfE Published Figures'!J10</f>
        <v>740000</v>
      </c>
      <c r="CC11" s="84">
        <f t="shared" si="31"/>
        <v>3000</v>
      </c>
      <c r="CD11" s="81"/>
      <c r="CE11" s="81"/>
      <c r="CF11" s="81"/>
      <c r="CG11" s="81"/>
      <c r="CH11" s="2"/>
    </row>
    <row r="12" spans="2:86" ht="15.75">
      <c r="B12" s="198">
        <v>2386</v>
      </c>
      <c r="C12" s="60" t="s">
        <v>18</v>
      </c>
      <c r="D12" s="204"/>
      <c r="F12" s="80">
        <v>172</v>
      </c>
      <c r="G12" s="163"/>
      <c r="H12" s="164">
        <v>-1</v>
      </c>
      <c r="I12" s="94">
        <f t="shared" si="0"/>
        <v>171</v>
      </c>
      <c r="J12" s="103"/>
      <c r="K12" s="80">
        <v>604274.56318744505</v>
      </c>
      <c r="L12" s="163"/>
      <c r="M12" s="163"/>
      <c r="N12" s="94">
        <f t="shared" si="1"/>
        <v>604274.56318744505</v>
      </c>
      <c r="O12" s="103"/>
      <c r="P12" s="80">
        <f>P$76*'TABLE 4 - October 2016 Dataset'!F12</f>
        <v>469735.29</v>
      </c>
      <c r="Q12" s="160"/>
      <c r="R12" s="161"/>
      <c r="S12" s="162">
        <f t="shared" si="3"/>
        <v>469735.29</v>
      </c>
      <c r="T12" s="165">
        <f>T$76*'TABLE 4 - October 2016 Dataset'!I12</f>
        <v>1319.9999999999993</v>
      </c>
      <c r="U12" s="165">
        <f>U$76*'TABLE 4 - October 2016 Dataset'!J12</f>
        <v>3101.0403190075303</v>
      </c>
      <c r="V12" s="165">
        <f>V$76*'TABLE 4 - October 2016 Dataset'!K12</f>
        <v>0</v>
      </c>
      <c r="W12" s="165">
        <f>W$76*'TABLE 4 - October 2016 Dataset'!L12</f>
        <v>0</v>
      </c>
      <c r="X12" s="165">
        <f>X$76*'TABLE 4 - October 2016 Dataset'!M12</f>
        <v>0</v>
      </c>
      <c r="Y12" s="165">
        <f>Y$76*'TABLE 4 - October 2016 Dataset'!N12</f>
        <v>0</v>
      </c>
      <c r="Z12" s="165">
        <f>Z$76*'TABLE 4 - October 2016 Dataset'!O12</f>
        <v>0</v>
      </c>
      <c r="AA12" s="165">
        <f>AA$76*'TABLE 4 - October 2016 Dataset'!P12</f>
        <v>399.99999999999869</v>
      </c>
      <c r="AB12" s="162">
        <f t="shared" si="4"/>
        <v>4821.0403190075285</v>
      </c>
      <c r="AC12" s="140">
        <f>AC$76*'TABLE 4 - October 2016 Dataset'!Q12</f>
        <v>35910</v>
      </c>
      <c r="AD12" s="140">
        <f>AD$76*'TABLE 4 - October 2016 Dataset'!R12</f>
        <v>2773.7007874015758</v>
      </c>
      <c r="AE12" s="140">
        <f>AE$76*'TABLE 4 - October 2016 Dataset'!S12</f>
        <v>0</v>
      </c>
      <c r="AF12" s="140">
        <f t="shared" si="5"/>
        <v>110000</v>
      </c>
      <c r="AG12" s="140">
        <f>IF('TABLE 4 - October 2016 Dataset'!X12="No",0,"*CHECK*")</f>
        <v>0</v>
      </c>
      <c r="AH12" s="140">
        <f>'TABLE 4 - October 2016 Dataset'!Y12</f>
        <v>9524.5499999999993</v>
      </c>
      <c r="AI12" s="170">
        <f>IF('TABLE 4 - October 2016 Dataset'!Z12&gt;0,('TABLE 4 - October 2016 Dataset'!Z12*(1+AI$79))-((AI$76*SUM('TABLE 4 - October 2016 Dataset'!F12:H12))+AI$77),0)</f>
        <v>0</v>
      </c>
      <c r="AJ12" s="166" t="str">
        <f>IF('TABLE 4 - October 2016 Dataset'!AA12="Yes",'TABLE 1 - 2018-19 Provisional'!AJ$76*SUM('TABLE 4 - October 2016 Dataset'!F12:H12),"")</f>
        <v/>
      </c>
      <c r="AK12" s="140">
        <f t="shared" si="6"/>
        <v>0</v>
      </c>
      <c r="AL12" s="94">
        <f t="shared" si="7"/>
        <v>632764.5811064092</v>
      </c>
      <c r="AM12" s="103"/>
      <c r="AN12" s="80">
        <f t="shared" si="8"/>
        <v>623240.03110640915</v>
      </c>
      <c r="AO12" s="165">
        <f>AN12/SUM('TABLE 4 - October 2016 Dataset'!F12:H12)</f>
        <v>3644.6785444819247</v>
      </c>
      <c r="AP12" s="165">
        <f t="shared" si="2"/>
        <v>0</v>
      </c>
      <c r="AQ12" s="165">
        <f>AP12*SUM('TABLE 4 - October 2016 Dataset'!F12:H12)</f>
        <v>0</v>
      </c>
      <c r="AR12" s="94">
        <f t="shared" si="9"/>
        <v>632764.5811064092</v>
      </c>
      <c r="AS12" s="103"/>
      <c r="AT12" s="80">
        <f>N12-(AF12+AG12+'TABLE 4 - October 2016 Dataset'!Y12)</f>
        <v>484750.01318744506</v>
      </c>
      <c r="AU12" s="187">
        <f t="shared" si="10"/>
        <v>513240.03110640921</v>
      </c>
      <c r="AV12" s="165">
        <f t="shared" si="11"/>
        <v>2834.7953987569886</v>
      </c>
      <c r="AW12" s="165">
        <f>AU12/SUM('TABLE 4 - October 2016 Dataset'!F12:H12)</f>
        <v>3001.4036906807555</v>
      </c>
      <c r="AX12" s="173">
        <f t="shared" si="12"/>
        <v>5.8772598543380683E-2</v>
      </c>
      <c r="AY12" s="173">
        <f t="shared" si="13"/>
        <v>0</v>
      </c>
      <c r="AZ12" s="175">
        <f t="shared" si="14"/>
        <v>0</v>
      </c>
      <c r="BA12" s="165">
        <f>AZ12*SUM('TABLE 4 - October 2016 Dataset'!F12:H12)</f>
        <v>0</v>
      </c>
      <c r="BB12" s="94">
        <f t="shared" si="15"/>
        <v>632764.5811064092</v>
      </c>
      <c r="BC12" s="103"/>
      <c r="BD12" s="184">
        <f>'TABLE 3 - Target Illustrative'!AR12-(AF12+AG12+AH12)</f>
        <v>513240.03110640921</v>
      </c>
      <c r="BE12" s="165">
        <f>BD12/SUM('TABLE 4 - October 2016 Dataset'!F12:H12)</f>
        <v>3001.4036906807555</v>
      </c>
      <c r="BF12" s="173">
        <f t="shared" si="16"/>
        <v>5.8772598543380683E-2</v>
      </c>
      <c r="BG12" s="185">
        <f t="shared" si="17"/>
        <v>1.1754519708676137E-2</v>
      </c>
      <c r="BH12" s="185">
        <f t="shared" si="18"/>
        <v>0.03</v>
      </c>
      <c r="BI12" s="173">
        <f t="shared" si="19"/>
        <v>-2.8772598543380684E-2</v>
      </c>
      <c r="BJ12" s="175">
        <f t="shared" si="20"/>
        <v>-81.564429961057598</v>
      </c>
      <c r="BK12" s="165">
        <f>BJ12*SUM('TABLE 4 - October 2016 Dataset'!F12:H12)</f>
        <v>-13947.51752334085</v>
      </c>
      <c r="BL12" s="94">
        <f t="shared" si="21"/>
        <v>618817.06358306832</v>
      </c>
      <c r="BM12" s="103"/>
      <c r="BN12" s="179">
        <f t="shared" si="22"/>
        <v>609292.51358306827</v>
      </c>
      <c r="BO12" s="175">
        <f>BN12/SUM('TABLE 4 - October 2016 Dataset'!F12:H12)</f>
        <v>3563.1141145208671</v>
      </c>
      <c r="BP12" s="175">
        <f t="shared" si="23"/>
        <v>0</v>
      </c>
      <c r="BQ12" s="175">
        <f>BP12*SUM('TABLE 4 - October 2016 Dataset'!F12:H12)</f>
        <v>0</v>
      </c>
      <c r="BR12" s="94">
        <f t="shared" si="24"/>
        <v>618817.06358306832</v>
      </c>
      <c r="BS12" s="103"/>
      <c r="BT12" s="80">
        <f t="shared" si="25"/>
        <v>604274.56318744505</v>
      </c>
      <c r="BU12" s="122">
        <f t="shared" si="26"/>
        <v>3533.7693753651756</v>
      </c>
      <c r="BV12" s="264">
        <f t="shared" si="27"/>
        <v>618817.06358306832</v>
      </c>
      <c r="BW12" s="81">
        <f>BV12/SUM('TABLE 4 - October 2016 Dataset'!F12:H12)</f>
        <v>3618.813237327885</v>
      </c>
      <c r="BX12" s="264">
        <f t="shared" si="28"/>
        <v>14542.500395623269</v>
      </c>
      <c r="BY12" s="81">
        <f t="shared" si="29"/>
        <v>85.043861962709343</v>
      </c>
      <c r="BZ12" s="269">
        <f t="shared" si="30"/>
        <v>2.4066047590873416E-2</v>
      </c>
      <c r="CA12" s="103"/>
      <c r="CB12" s="80">
        <f>'TABLE 5 - DfE Published Figures'!J11</f>
        <v>615000</v>
      </c>
      <c r="CC12" s="84">
        <f t="shared" si="31"/>
        <v>4000</v>
      </c>
      <c r="CD12" s="81"/>
      <c r="CE12" s="81"/>
      <c r="CF12" s="81"/>
      <c r="CG12" s="81"/>
      <c r="CH12" s="2"/>
    </row>
    <row r="13" spans="2:86" ht="15.75">
      <c r="B13" s="198">
        <v>2024</v>
      </c>
      <c r="C13" s="60" t="s">
        <v>19</v>
      </c>
      <c r="D13" s="204" t="s">
        <v>71</v>
      </c>
      <c r="F13" s="80">
        <v>160</v>
      </c>
      <c r="G13" s="163"/>
      <c r="H13" s="164">
        <v>0</v>
      </c>
      <c r="I13" s="94">
        <f t="shared" si="0"/>
        <v>160</v>
      </c>
      <c r="J13" s="103"/>
      <c r="K13" s="80">
        <v>711734.16529969336</v>
      </c>
      <c r="L13" s="163"/>
      <c r="M13" s="163"/>
      <c r="N13" s="94">
        <f t="shared" si="1"/>
        <v>711734.16529969336</v>
      </c>
      <c r="O13" s="103"/>
      <c r="P13" s="80">
        <f>P$76*'TABLE 4 - October 2016 Dataset'!F13</f>
        <v>439518.39999999997</v>
      </c>
      <c r="Q13" s="160"/>
      <c r="R13" s="161"/>
      <c r="S13" s="162">
        <f t="shared" si="3"/>
        <v>439518.39999999997</v>
      </c>
      <c r="T13" s="165">
        <f>T$76*'TABLE 4 - October 2016 Dataset'!I13</f>
        <v>14080</v>
      </c>
      <c r="U13" s="165">
        <f>U$76*'TABLE 4 - October 2016 Dataset'!J13</f>
        <v>40984.615384615383</v>
      </c>
      <c r="V13" s="165">
        <f>V$76*'TABLE 4 - October 2016 Dataset'!K13</f>
        <v>0</v>
      </c>
      <c r="W13" s="165">
        <f>W$76*'TABLE 4 - October 2016 Dataset'!L13</f>
        <v>18900</v>
      </c>
      <c r="X13" s="165">
        <f>X$76*'TABLE 4 - October 2016 Dataset'!M13</f>
        <v>1560</v>
      </c>
      <c r="Y13" s="165">
        <f>Y$76*'TABLE 4 - October 2016 Dataset'!N13</f>
        <v>15120</v>
      </c>
      <c r="Z13" s="165">
        <f>Z$76*'TABLE 4 - October 2016 Dataset'!O13</f>
        <v>0</v>
      </c>
      <c r="AA13" s="165">
        <f>AA$76*'TABLE 4 - October 2016 Dataset'!P13</f>
        <v>11600</v>
      </c>
      <c r="AB13" s="162">
        <f t="shared" si="4"/>
        <v>102244.61538461538</v>
      </c>
      <c r="AC13" s="140">
        <f>AC$76*'TABLE 4 - October 2016 Dataset'!Q13</f>
        <v>70121.292543194199</v>
      </c>
      <c r="AD13" s="140">
        <f>AD$76*'TABLE 4 - October 2016 Dataset'!R13</f>
        <v>6338.4615384615363</v>
      </c>
      <c r="AE13" s="140">
        <f>AE$76*'TABLE 4 - October 2016 Dataset'!S13</f>
        <v>710.99999999999909</v>
      </c>
      <c r="AF13" s="140">
        <f t="shared" si="5"/>
        <v>110000</v>
      </c>
      <c r="AG13" s="140">
        <f>IF('TABLE 4 - October 2016 Dataset'!X13="No",0,"*CHECK*")</f>
        <v>0</v>
      </c>
      <c r="AH13" s="140">
        <f>'TABLE 4 - October 2016 Dataset'!Y13</f>
        <v>4406.88</v>
      </c>
      <c r="AI13" s="170">
        <f>IF('TABLE 4 - October 2016 Dataset'!Z13&gt;0,('TABLE 4 - October 2016 Dataset'!Z13*(1+AI$79))-((AI$76*SUM('TABLE 4 - October 2016 Dataset'!F13:H13))+AI$77),0)</f>
        <v>0</v>
      </c>
      <c r="AJ13" s="166" t="str">
        <f>IF('TABLE 4 - October 2016 Dataset'!AA13="Yes",'TABLE 1 - 2018-19 Provisional'!AJ$76*SUM('TABLE 4 - October 2016 Dataset'!F13:H13),"")</f>
        <v/>
      </c>
      <c r="AK13" s="140">
        <f t="shared" si="6"/>
        <v>0</v>
      </c>
      <c r="AL13" s="94">
        <f t="shared" si="7"/>
        <v>733340.64946627116</v>
      </c>
      <c r="AM13" s="103"/>
      <c r="AN13" s="80">
        <f t="shared" si="8"/>
        <v>728933.76946627116</v>
      </c>
      <c r="AO13" s="165">
        <f>AN13/SUM('TABLE 4 - October 2016 Dataset'!F13:H13)</f>
        <v>4555.8360591641949</v>
      </c>
      <c r="AP13" s="165">
        <f t="shared" si="2"/>
        <v>0</v>
      </c>
      <c r="AQ13" s="165">
        <f>AP13*SUM('TABLE 4 - October 2016 Dataset'!F13:H13)</f>
        <v>0</v>
      </c>
      <c r="AR13" s="94">
        <f t="shared" si="9"/>
        <v>733340.64946627116</v>
      </c>
      <c r="AS13" s="103"/>
      <c r="AT13" s="80">
        <f>N13-(AF13+AG13+'TABLE 4 - October 2016 Dataset'!Y13)</f>
        <v>597327.28529969335</v>
      </c>
      <c r="AU13" s="187">
        <f t="shared" si="10"/>
        <v>618933.76946627116</v>
      </c>
      <c r="AV13" s="165">
        <f t="shared" si="11"/>
        <v>3733.2955331230833</v>
      </c>
      <c r="AW13" s="165">
        <f>AU13/SUM('TABLE 4 - October 2016 Dataset'!F13:H13)</f>
        <v>3868.3360591641949</v>
      </c>
      <c r="AX13" s="173">
        <f t="shared" si="12"/>
        <v>3.6171935718184001E-2</v>
      </c>
      <c r="AY13" s="173">
        <f t="shared" si="13"/>
        <v>0</v>
      </c>
      <c r="AZ13" s="175">
        <f t="shared" si="14"/>
        <v>0</v>
      </c>
      <c r="BA13" s="165">
        <f>AZ13*SUM('TABLE 4 - October 2016 Dataset'!F13:H13)</f>
        <v>0</v>
      </c>
      <c r="BB13" s="94">
        <f t="shared" si="15"/>
        <v>733340.64946627116</v>
      </c>
      <c r="BC13" s="103"/>
      <c r="BD13" s="184">
        <f>'TABLE 3 - Target Illustrative'!AR13-(AF13+AG13+AH13)</f>
        <v>618933.76946627116</v>
      </c>
      <c r="BE13" s="165">
        <f>BD13/SUM('TABLE 4 - October 2016 Dataset'!F13:H13)</f>
        <v>3868.3360591641949</v>
      </c>
      <c r="BF13" s="173">
        <f t="shared" si="16"/>
        <v>3.6171935718184001E-2</v>
      </c>
      <c r="BG13" s="185">
        <f t="shared" si="17"/>
        <v>7.2343871436368005E-3</v>
      </c>
      <c r="BH13" s="185">
        <f t="shared" si="18"/>
        <v>0.03</v>
      </c>
      <c r="BI13" s="173">
        <f t="shared" si="19"/>
        <v>-6.1719357181840018E-3</v>
      </c>
      <c r="BJ13" s="175">
        <f t="shared" si="20"/>
        <v>-23.041660047419143</v>
      </c>
      <c r="BK13" s="165">
        <f>BJ13*SUM('TABLE 4 - October 2016 Dataset'!F13:H13)</f>
        <v>-3686.6656075870628</v>
      </c>
      <c r="BL13" s="94">
        <f t="shared" si="21"/>
        <v>729653.98385868408</v>
      </c>
      <c r="BM13" s="103"/>
      <c r="BN13" s="179">
        <f t="shared" si="22"/>
        <v>725247.10385868407</v>
      </c>
      <c r="BO13" s="175">
        <f>BN13/SUM('TABLE 4 - October 2016 Dataset'!F13:H13)</f>
        <v>4532.7943991167758</v>
      </c>
      <c r="BP13" s="175">
        <f t="shared" si="23"/>
        <v>0</v>
      </c>
      <c r="BQ13" s="175">
        <f>BP13*SUM('TABLE 4 - October 2016 Dataset'!F13:H13)</f>
        <v>0</v>
      </c>
      <c r="BR13" s="94">
        <f t="shared" si="24"/>
        <v>729653.98385868408</v>
      </c>
      <c r="BS13" s="103"/>
      <c r="BT13" s="80">
        <f t="shared" si="25"/>
        <v>711734.16529969336</v>
      </c>
      <c r="BU13" s="122">
        <f t="shared" si="26"/>
        <v>4448.3385331230838</v>
      </c>
      <c r="BV13" s="264">
        <f t="shared" si="27"/>
        <v>729653.98385868408</v>
      </c>
      <c r="BW13" s="81">
        <f>BV13/SUM('TABLE 4 - October 2016 Dataset'!F13:H13)</f>
        <v>4560.3373991167755</v>
      </c>
      <c r="BX13" s="264">
        <f t="shared" si="28"/>
        <v>17919.818558990723</v>
      </c>
      <c r="BY13" s="81">
        <f t="shared" si="29"/>
        <v>111.99886599369165</v>
      </c>
      <c r="BZ13" s="269">
        <f t="shared" si="30"/>
        <v>2.5177684917577447E-2</v>
      </c>
      <c r="CA13" s="103"/>
      <c r="CB13" s="80">
        <f>'TABLE 5 - DfE Published Figures'!J12</f>
        <v>725000</v>
      </c>
      <c r="CC13" s="84">
        <f t="shared" si="31"/>
        <v>5000</v>
      </c>
      <c r="CD13" s="81"/>
      <c r="CE13" s="81"/>
      <c r="CF13" s="81"/>
      <c r="CG13" s="81"/>
      <c r="CH13" s="2"/>
    </row>
    <row r="14" spans="2:86" ht="15.75">
      <c r="B14" s="198">
        <v>2003</v>
      </c>
      <c r="C14" s="60" t="s">
        <v>20</v>
      </c>
      <c r="D14" s="204"/>
      <c r="F14" s="80">
        <v>250</v>
      </c>
      <c r="G14" s="163"/>
      <c r="H14" s="164">
        <v>0</v>
      </c>
      <c r="I14" s="94">
        <f t="shared" si="0"/>
        <v>250</v>
      </c>
      <c r="J14" s="103"/>
      <c r="K14" s="80">
        <v>914801.89983965154</v>
      </c>
      <c r="L14" s="163"/>
      <c r="M14" s="163"/>
      <c r="N14" s="94">
        <f t="shared" si="1"/>
        <v>914801.89983965154</v>
      </c>
      <c r="O14" s="103"/>
      <c r="P14" s="80">
        <f>P$76*'TABLE 4 - October 2016 Dataset'!F14</f>
        <v>686747.5</v>
      </c>
      <c r="Q14" s="160"/>
      <c r="R14" s="161"/>
      <c r="S14" s="162">
        <f t="shared" si="3"/>
        <v>686747.5</v>
      </c>
      <c r="T14" s="165">
        <f>T$76*'TABLE 4 - October 2016 Dataset'!I14</f>
        <v>11880</v>
      </c>
      <c r="U14" s="165">
        <f>U$76*'TABLE 4 - October 2016 Dataset'!J14</f>
        <v>25418.410041841002</v>
      </c>
      <c r="V14" s="165">
        <f>V$76*'TABLE 4 - October 2016 Dataset'!K14</f>
        <v>0</v>
      </c>
      <c r="W14" s="165">
        <f>W$76*'TABLE 4 - October 2016 Dataset'!L14</f>
        <v>421.68674698795155</v>
      </c>
      <c r="X14" s="165">
        <f>X$76*'TABLE 4 - October 2016 Dataset'!M14</f>
        <v>24277.108433734942</v>
      </c>
      <c r="Y14" s="165">
        <f>Y$76*'TABLE 4 - October 2016 Dataset'!N14</f>
        <v>4337.3493975903657</v>
      </c>
      <c r="Z14" s="165">
        <f>Z$76*'TABLE 4 - October 2016 Dataset'!O14</f>
        <v>0</v>
      </c>
      <c r="AA14" s="165">
        <f>AA$76*'TABLE 4 - October 2016 Dataset'!P14</f>
        <v>1405.6224899598399</v>
      </c>
      <c r="AB14" s="162">
        <f t="shared" si="4"/>
        <v>67740.177110114106</v>
      </c>
      <c r="AC14" s="140">
        <f>AC$76*'TABLE 4 - October 2016 Dataset'!Q14</f>
        <v>77594.339622641623</v>
      </c>
      <c r="AD14" s="140">
        <f>AD$76*'TABLE 4 - October 2016 Dataset'!R14</f>
        <v>5563.2716049382752</v>
      </c>
      <c r="AE14" s="140">
        <f>AE$76*'TABLE 4 - October 2016 Dataset'!S14</f>
        <v>0</v>
      </c>
      <c r="AF14" s="140">
        <f t="shared" si="5"/>
        <v>110000</v>
      </c>
      <c r="AG14" s="140">
        <f>IF('TABLE 4 - October 2016 Dataset'!X14="No",0,"*CHECK*")</f>
        <v>0</v>
      </c>
      <c r="AH14" s="140">
        <f>'TABLE 4 - October 2016 Dataset'!Y14</f>
        <v>10803.97</v>
      </c>
      <c r="AI14" s="170">
        <f>IF('TABLE 4 - October 2016 Dataset'!Z14&gt;0,('TABLE 4 - October 2016 Dataset'!Z14*(1+AI$79))-((AI$76*SUM('TABLE 4 - October 2016 Dataset'!F14:H14))+AI$77),0)</f>
        <v>0</v>
      </c>
      <c r="AJ14" s="166" t="str">
        <f>IF('TABLE 4 - October 2016 Dataset'!AA14="Yes",'TABLE 1 - 2018-19 Provisional'!AJ$76*SUM('TABLE 4 - October 2016 Dataset'!F14:H14),"")</f>
        <v/>
      </c>
      <c r="AK14" s="140">
        <f t="shared" si="6"/>
        <v>0</v>
      </c>
      <c r="AL14" s="94">
        <f t="shared" si="7"/>
        <v>958449.2583376941</v>
      </c>
      <c r="AM14" s="103"/>
      <c r="AN14" s="80">
        <f t="shared" si="8"/>
        <v>947645.28833769413</v>
      </c>
      <c r="AO14" s="165">
        <f>AN14/SUM('TABLE 4 - October 2016 Dataset'!F14:H14)</f>
        <v>3790.5811533507767</v>
      </c>
      <c r="AP14" s="165">
        <f t="shared" si="2"/>
        <v>0</v>
      </c>
      <c r="AQ14" s="165">
        <f>AP14*SUM('TABLE 4 - October 2016 Dataset'!F14:H14)</f>
        <v>0</v>
      </c>
      <c r="AR14" s="94">
        <f t="shared" si="9"/>
        <v>958449.2583376941</v>
      </c>
      <c r="AS14" s="103"/>
      <c r="AT14" s="80">
        <f>N14-(AF14+AG14+'TABLE 4 - October 2016 Dataset'!Y14)</f>
        <v>793997.92983965157</v>
      </c>
      <c r="AU14" s="187">
        <f t="shared" si="10"/>
        <v>837645.28833769413</v>
      </c>
      <c r="AV14" s="165">
        <f t="shared" si="11"/>
        <v>3175.9917193586061</v>
      </c>
      <c r="AW14" s="165">
        <f>AU14/SUM('TABLE 4 - October 2016 Dataset'!F14:H14)</f>
        <v>3350.5811533507767</v>
      </c>
      <c r="AX14" s="173">
        <f t="shared" si="12"/>
        <v>5.4971627579504245E-2</v>
      </c>
      <c r="AY14" s="173">
        <f t="shared" si="13"/>
        <v>0</v>
      </c>
      <c r="AZ14" s="175">
        <f t="shared" si="14"/>
        <v>0</v>
      </c>
      <c r="BA14" s="165">
        <f>AZ14*SUM('TABLE 4 - October 2016 Dataset'!F14:H14)</f>
        <v>0</v>
      </c>
      <c r="BB14" s="94">
        <f t="shared" si="15"/>
        <v>958449.2583376941</v>
      </c>
      <c r="BC14" s="103"/>
      <c r="BD14" s="184">
        <f>'TABLE 3 - Target Illustrative'!AR14-(AF14+AG14+AH14)</f>
        <v>837645.28833769413</v>
      </c>
      <c r="BE14" s="165">
        <f>BD14/SUM('TABLE 4 - October 2016 Dataset'!F14:H14)</f>
        <v>3350.5811533507767</v>
      </c>
      <c r="BF14" s="173">
        <f t="shared" si="16"/>
        <v>5.4971627579504245E-2</v>
      </c>
      <c r="BG14" s="185">
        <f t="shared" si="17"/>
        <v>1.0994325515900849E-2</v>
      </c>
      <c r="BH14" s="185">
        <f t="shared" si="18"/>
        <v>0.03</v>
      </c>
      <c r="BI14" s="173">
        <f t="shared" si="19"/>
        <v>-2.4971627579504246E-2</v>
      </c>
      <c r="BJ14" s="175">
        <f t="shared" si="20"/>
        <v>-79.309682411412481</v>
      </c>
      <c r="BK14" s="165">
        <f>BJ14*SUM('TABLE 4 - October 2016 Dataset'!F14:H14)</f>
        <v>-19827.420602853119</v>
      </c>
      <c r="BL14" s="94">
        <f t="shared" si="21"/>
        <v>938621.83773484104</v>
      </c>
      <c r="BM14" s="103"/>
      <c r="BN14" s="179">
        <f t="shared" si="22"/>
        <v>927817.86773484107</v>
      </c>
      <c r="BO14" s="175">
        <f>BN14/SUM('TABLE 4 - October 2016 Dataset'!F14:H14)</f>
        <v>3711.2714709393645</v>
      </c>
      <c r="BP14" s="175">
        <f t="shared" si="23"/>
        <v>0</v>
      </c>
      <c r="BQ14" s="175">
        <f>BP14*SUM('TABLE 4 - October 2016 Dataset'!F14:H14)</f>
        <v>0</v>
      </c>
      <c r="BR14" s="94">
        <f t="shared" si="24"/>
        <v>938621.83773484104</v>
      </c>
      <c r="BS14" s="103"/>
      <c r="BT14" s="80">
        <f t="shared" si="25"/>
        <v>914801.89983965154</v>
      </c>
      <c r="BU14" s="122">
        <f t="shared" si="26"/>
        <v>3659.2075993586063</v>
      </c>
      <c r="BV14" s="264">
        <f t="shared" si="27"/>
        <v>938621.83773484104</v>
      </c>
      <c r="BW14" s="81">
        <f>BV14/SUM('TABLE 4 - October 2016 Dataset'!F14:H14)</f>
        <v>3754.4873509393642</v>
      </c>
      <c r="BX14" s="264">
        <f t="shared" si="28"/>
        <v>23819.937895189505</v>
      </c>
      <c r="BY14" s="81">
        <f t="shared" si="29"/>
        <v>95.279751580757875</v>
      </c>
      <c r="BZ14" s="269">
        <f t="shared" si="30"/>
        <v>2.6038356391000803E-2</v>
      </c>
      <c r="CA14" s="103"/>
      <c r="CB14" s="80">
        <f>'TABLE 5 - DfE Published Figures'!J13</f>
        <v>939000</v>
      </c>
      <c r="CC14" s="84">
        <f t="shared" si="31"/>
        <v>0</v>
      </c>
      <c r="CD14" s="81"/>
      <c r="CE14" s="81"/>
      <c r="CF14" s="81"/>
      <c r="CG14" s="81"/>
      <c r="CH14" s="2"/>
    </row>
    <row r="15" spans="2:86" ht="15.75">
      <c r="B15" s="198">
        <v>2002</v>
      </c>
      <c r="C15" s="60" t="s">
        <v>21</v>
      </c>
      <c r="D15" s="204"/>
      <c r="F15" s="80">
        <v>281</v>
      </c>
      <c r="G15" s="163"/>
      <c r="H15" s="164">
        <v>0</v>
      </c>
      <c r="I15" s="94">
        <f t="shared" si="0"/>
        <v>281</v>
      </c>
      <c r="J15" s="103"/>
      <c r="K15" s="80">
        <v>1035455.2254848443</v>
      </c>
      <c r="L15" s="163"/>
      <c r="M15" s="163"/>
      <c r="N15" s="94">
        <f t="shared" si="1"/>
        <v>1035455.2254848443</v>
      </c>
      <c r="O15" s="103"/>
      <c r="P15" s="80">
        <f>P$76*'TABLE 4 - October 2016 Dataset'!F15</f>
        <v>771904.19</v>
      </c>
      <c r="Q15" s="160"/>
      <c r="R15" s="161"/>
      <c r="S15" s="162">
        <f t="shared" si="3"/>
        <v>771904.19</v>
      </c>
      <c r="T15" s="165">
        <f>T$76*'TABLE 4 - October 2016 Dataset'!I15</f>
        <v>21119.999999999964</v>
      </c>
      <c r="U15" s="165">
        <f>U$76*'TABLE 4 - October 2016 Dataset'!J15</f>
        <v>45235.698113207545</v>
      </c>
      <c r="V15" s="165">
        <f>V$76*'TABLE 4 - October 2016 Dataset'!K15</f>
        <v>0</v>
      </c>
      <c r="W15" s="165">
        <f>W$76*'TABLE 4 - October 2016 Dataset'!L15</f>
        <v>423.01075268817158</v>
      </c>
      <c r="X15" s="165">
        <f>X$76*'TABLE 4 - October 2016 Dataset'!M15</f>
        <v>31816.451612903191</v>
      </c>
      <c r="Y15" s="165">
        <f>Y$76*'TABLE 4 - October 2016 Dataset'!N15</f>
        <v>4713.5483870967691</v>
      </c>
      <c r="Z15" s="165">
        <f>Z$76*'TABLE 4 - October 2016 Dataset'!O15</f>
        <v>241.72043010752662</v>
      </c>
      <c r="AA15" s="165">
        <f>AA$76*'TABLE 4 - October 2016 Dataset'!P15</f>
        <v>2014.3369175627222</v>
      </c>
      <c r="AB15" s="162">
        <f t="shared" si="4"/>
        <v>105564.76621356589</v>
      </c>
      <c r="AC15" s="140">
        <f>AC$76*'TABLE 4 - October 2016 Dataset'!Q15</f>
        <v>108289.45312499996</v>
      </c>
      <c r="AD15" s="140">
        <f>AD$76*'TABLE 4 - October 2016 Dataset'!R15</f>
        <v>3605.0000000000068</v>
      </c>
      <c r="AE15" s="140">
        <f>AE$76*'TABLE 4 - October 2016 Dataset'!S15</f>
        <v>0</v>
      </c>
      <c r="AF15" s="140">
        <f t="shared" si="5"/>
        <v>110000</v>
      </c>
      <c r="AG15" s="140">
        <f>IF('TABLE 4 - October 2016 Dataset'!X15="No",0,"*CHECK*")</f>
        <v>0</v>
      </c>
      <c r="AH15" s="140">
        <f>'TABLE 4 - October 2016 Dataset'!Y15</f>
        <v>13136.38</v>
      </c>
      <c r="AI15" s="170">
        <f>IF('TABLE 4 - October 2016 Dataset'!Z15&gt;0,('TABLE 4 - October 2016 Dataset'!Z15*(1+AI$79))-((AI$76*SUM('TABLE 4 - October 2016 Dataset'!F15:H15))+AI$77),0)</f>
        <v>0</v>
      </c>
      <c r="AJ15" s="166" t="str">
        <f>IF('TABLE 4 - October 2016 Dataset'!AA15="Yes",'TABLE 1 - 2018-19 Provisional'!AJ$76*SUM('TABLE 4 - October 2016 Dataset'!F15:H15),"")</f>
        <v/>
      </c>
      <c r="AK15" s="140">
        <f t="shared" si="6"/>
        <v>0</v>
      </c>
      <c r="AL15" s="94">
        <f t="shared" si="7"/>
        <v>1112499.7893385657</v>
      </c>
      <c r="AM15" s="103"/>
      <c r="AN15" s="80">
        <f t="shared" si="8"/>
        <v>1099363.4093385658</v>
      </c>
      <c r="AO15" s="165">
        <f>AN15/SUM('TABLE 4 - October 2016 Dataset'!F15:H15)</f>
        <v>3912.3253001372445</v>
      </c>
      <c r="AP15" s="165">
        <f t="shared" si="2"/>
        <v>0</v>
      </c>
      <c r="AQ15" s="165">
        <f>AP15*SUM('TABLE 4 - October 2016 Dataset'!F15:H15)</f>
        <v>0</v>
      </c>
      <c r="AR15" s="94">
        <f t="shared" si="9"/>
        <v>1112499.7893385657</v>
      </c>
      <c r="AS15" s="103"/>
      <c r="AT15" s="80">
        <f>N15-(AF15+AG15+'TABLE 4 - October 2016 Dataset'!Y15)</f>
        <v>912318.84548484429</v>
      </c>
      <c r="AU15" s="187">
        <f t="shared" si="10"/>
        <v>989363.40933856566</v>
      </c>
      <c r="AV15" s="165">
        <f t="shared" si="11"/>
        <v>3246.6862828642147</v>
      </c>
      <c r="AW15" s="165">
        <f>AU15/SUM('TABLE 4 - October 2016 Dataset'!F15:H15)</f>
        <v>3520.8662254041483</v>
      </c>
      <c r="AX15" s="173">
        <f t="shared" si="12"/>
        <v>8.4449164055990344E-2</v>
      </c>
      <c r="AY15" s="173">
        <f t="shared" si="13"/>
        <v>0</v>
      </c>
      <c r="AZ15" s="175">
        <f t="shared" si="14"/>
        <v>0</v>
      </c>
      <c r="BA15" s="165">
        <f>AZ15*SUM('TABLE 4 - October 2016 Dataset'!F15:H15)</f>
        <v>0</v>
      </c>
      <c r="BB15" s="94">
        <f t="shared" si="15"/>
        <v>1112499.7893385657</v>
      </c>
      <c r="BC15" s="103"/>
      <c r="BD15" s="184">
        <f>'TABLE 3 - Target Illustrative'!AR15-(AF15+AG15+AH15)</f>
        <v>989363.40933856566</v>
      </c>
      <c r="BE15" s="165">
        <f>BD15/SUM('TABLE 4 - October 2016 Dataset'!F15:H15)</f>
        <v>3520.8662254041483</v>
      </c>
      <c r="BF15" s="173">
        <f t="shared" si="16"/>
        <v>8.4449164055990344E-2</v>
      </c>
      <c r="BG15" s="185">
        <f t="shared" si="17"/>
        <v>1.6889832811198071E-2</v>
      </c>
      <c r="BH15" s="185">
        <f t="shared" si="18"/>
        <v>0.03</v>
      </c>
      <c r="BI15" s="173">
        <f t="shared" si="19"/>
        <v>-5.4449164055990346E-2</v>
      </c>
      <c r="BJ15" s="175">
        <f t="shared" si="20"/>
        <v>-176.77935405400711</v>
      </c>
      <c r="BK15" s="165">
        <f>BJ15*SUM('TABLE 4 - October 2016 Dataset'!F15:H15)</f>
        <v>-49674.998489175996</v>
      </c>
      <c r="BL15" s="94">
        <f t="shared" si="21"/>
        <v>1062824.7908493897</v>
      </c>
      <c r="BM15" s="103"/>
      <c r="BN15" s="179">
        <f t="shared" si="22"/>
        <v>1049688.4108493899</v>
      </c>
      <c r="BO15" s="175">
        <f>BN15/SUM('TABLE 4 - October 2016 Dataset'!F15:H15)</f>
        <v>3735.5459460832381</v>
      </c>
      <c r="BP15" s="175">
        <f t="shared" si="23"/>
        <v>0</v>
      </c>
      <c r="BQ15" s="175">
        <f>BP15*SUM('TABLE 4 - October 2016 Dataset'!F15:H15)</f>
        <v>0</v>
      </c>
      <c r="BR15" s="94">
        <f t="shared" si="24"/>
        <v>1062824.7908493897</v>
      </c>
      <c r="BS15" s="103"/>
      <c r="BT15" s="80">
        <f t="shared" si="25"/>
        <v>1035455.2254848443</v>
      </c>
      <c r="BU15" s="122">
        <f t="shared" si="26"/>
        <v>3684.894040871332</v>
      </c>
      <c r="BV15" s="264">
        <f t="shared" si="27"/>
        <v>1062824.7908493897</v>
      </c>
      <c r="BW15" s="81">
        <f>BV15/SUM('TABLE 4 - October 2016 Dataset'!F15:H15)</f>
        <v>3782.2946293572591</v>
      </c>
      <c r="BX15" s="264">
        <f t="shared" si="28"/>
        <v>27369.565364545444</v>
      </c>
      <c r="BY15" s="81">
        <f t="shared" si="29"/>
        <v>97.400588485927074</v>
      </c>
      <c r="BZ15" s="269">
        <f t="shared" si="30"/>
        <v>2.6432398708239567E-2</v>
      </c>
      <c r="CA15" s="103"/>
      <c r="CB15" s="80">
        <f>'TABLE 5 - DfE Published Figures'!J14</f>
        <v>1052000</v>
      </c>
      <c r="CC15" s="84">
        <f t="shared" si="31"/>
        <v>11000</v>
      </c>
      <c r="CD15" s="81"/>
      <c r="CE15" s="81"/>
      <c r="CF15" s="81"/>
      <c r="CG15" s="81"/>
      <c r="CH15" s="2"/>
    </row>
    <row r="16" spans="2:86" ht="15.75">
      <c r="B16" s="198">
        <v>2018</v>
      </c>
      <c r="C16" s="60" t="s">
        <v>22</v>
      </c>
      <c r="D16" s="204"/>
      <c r="F16" s="80">
        <v>390</v>
      </c>
      <c r="G16" s="163"/>
      <c r="H16" s="164">
        <v>-4</v>
      </c>
      <c r="I16" s="94">
        <f t="shared" si="0"/>
        <v>386</v>
      </c>
      <c r="J16" s="103"/>
      <c r="K16" s="80">
        <v>1456683.3905668238</v>
      </c>
      <c r="L16" s="163"/>
      <c r="M16" s="163"/>
      <c r="N16" s="94">
        <f t="shared" si="1"/>
        <v>1456683.3905668238</v>
      </c>
      <c r="O16" s="103"/>
      <c r="P16" s="80">
        <f>P$76*'TABLE 4 - October 2016 Dataset'!F16</f>
        <v>1060338.1399999999</v>
      </c>
      <c r="Q16" s="160"/>
      <c r="R16" s="161"/>
      <c r="S16" s="162">
        <f t="shared" si="3"/>
        <v>1060338.1399999999</v>
      </c>
      <c r="T16" s="165">
        <f>T$76*'TABLE 4 - October 2016 Dataset'!I16</f>
        <v>36519.999999999949</v>
      </c>
      <c r="U16" s="165">
        <f>U$76*'TABLE 4 - October 2016 Dataset'!J16</f>
        <v>76409.272237196768</v>
      </c>
      <c r="V16" s="165">
        <f>V$76*'TABLE 4 - October 2016 Dataset'!K16</f>
        <v>0</v>
      </c>
      <c r="W16" s="165">
        <f>W$76*'TABLE 4 - October 2016 Dataset'!L16</f>
        <v>51506.874999999942</v>
      </c>
      <c r="X16" s="165">
        <f>X$76*'TABLE 4 - October 2016 Dataset'!M16</f>
        <v>1568.125000000005</v>
      </c>
      <c r="Y16" s="165">
        <f>Y$76*'TABLE 4 - October 2016 Dataset'!N16</f>
        <v>29673.750000000044</v>
      </c>
      <c r="Z16" s="165">
        <f>Z$76*'TABLE 4 - October 2016 Dataset'!O16</f>
        <v>0</v>
      </c>
      <c r="AA16" s="165">
        <f>AA$76*'TABLE 4 - October 2016 Dataset'!P16</f>
        <v>10454.166666666692</v>
      </c>
      <c r="AB16" s="162">
        <f t="shared" si="4"/>
        <v>206132.18890386337</v>
      </c>
      <c r="AC16" s="140">
        <f>AC$76*'TABLE 4 - October 2016 Dataset'!Q16</f>
        <v>169213.45479617181</v>
      </c>
      <c r="AD16" s="140">
        <f>AD$76*'TABLE 4 - October 2016 Dataset'!R16</f>
        <v>22415.489614243332</v>
      </c>
      <c r="AE16" s="140">
        <f>AE$76*'TABLE 4 - October 2016 Dataset'!S16</f>
        <v>10949.400000000051</v>
      </c>
      <c r="AF16" s="140">
        <f t="shared" si="5"/>
        <v>110000</v>
      </c>
      <c r="AG16" s="140">
        <f>IF('TABLE 4 - October 2016 Dataset'!X16="No",0,"*CHECK*")</f>
        <v>0</v>
      </c>
      <c r="AH16" s="140">
        <f>'TABLE 4 - October 2016 Dataset'!Y16</f>
        <v>18764.79</v>
      </c>
      <c r="AI16" s="170">
        <f>IF('TABLE 4 - October 2016 Dataset'!Z16&gt;0,('TABLE 4 - October 2016 Dataset'!Z16*(1+AI$79))-((AI$76*SUM('TABLE 4 - October 2016 Dataset'!F16:H16))+AI$77),0)</f>
        <v>0</v>
      </c>
      <c r="AJ16" s="166" t="str">
        <f>IF('TABLE 4 - October 2016 Dataset'!AA16="Yes",'TABLE 1 - 2018-19 Provisional'!AJ$76*SUM('TABLE 4 - October 2016 Dataset'!F16:H16),"")</f>
        <v/>
      </c>
      <c r="AK16" s="140">
        <f t="shared" si="6"/>
        <v>0</v>
      </c>
      <c r="AL16" s="94">
        <f t="shared" si="7"/>
        <v>1597813.4633142785</v>
      </c>
      <c r="AM16" s="103"/>
      <c r="AN16" s="80">
        <f t="shared" si="8"/>
        <v>1579048.6733142785</v>
      </c>
      <c r="AO16" s="165">
        <f>AN16/SUM('TABLE 4 - October 2016 Dataset'!F16:H16)</f>
        <v>4090.7996717986489</v>
      </c>
      <c r="AP16" s="165">
        <f t="shared" si="2"/>
        <v>0</v>
      </c>
      <c r="AQ16" s="165">
        <f>AP16*SUM('TABLE 4 - October 2016 Dataset'!F16:H16)</f>
        <v>0</v>
      </c>
      <c r="AR16" s="94">
        <f t="shared" si="9"/>
        <v>1597813.4633142785</v>
      </c>
      <c r="AS16" s="103"/>
      <c r="AT16" s="80">
        <f>N16-(AF16+AG16+'TABLE 4 - October 2016 Dataset'!Y16)</f>
        <v>1327918.6005668237</v>
      </c>
      <c r="AU16" s="187">
        <f t="shared" si="10"/>
        <v>1469048.6733142785</v>
      </c>
      <c r="AV16" s="165">
        <f t="shared" si="11"/>
        <v>3440.2036284114606</v>
      </c>
      <c r="AW16" s="165">
        <f>AU16/SUM('TABLE 4 - October 2016 Dataset'!F16:H16)</f>
        <v>3805.8255785344004</v>
      </c>
      <c r="AX16" s="173">
        <f t="shared" si="12"/>
        <v>0.10627915949608147</v>
      </c>
      <c r="AY16" s="173">
        <f t="shared" si="13"/>
        <v>0</v>
      </c>
      <c r="AZ16" s="175">
        <f t="shared" si="14"/>
        <v>0</v>
      </c>
      <c r="BA16" s="165">
        <f>AZ16*SUM('TABLE 4 - October 2016 Dataset'!F16:H16)</f>
        <v>0</v>
      </c>
      <c r="BB16" s="94">
        <f t="shared" si="15"/>
        <v>1597813.4633142785</v>
      </c>
      <c r="BC16" s="103"/>
      <c r="BD16" s="184">
        <f>'TABLE 3 - Target Illustrative'!AR16-(AF16+AG16+AH16)</f>
        <v>1469048.6733142785</v>
      </c>
      <c r="BE16" s="165">
        <f>BD16/SUM('TABLE 4 - October 2016 Dataset'!F16:H16)</f>
        <v>3805.8255785344004</v>
      </c>
      <c r="BF16" s="173">
        <f t="shared" si="16"/>
        <v>0.10627915949608147</v>
      </c>
      <c r="BG16" s="185">
        <f t="shared" si="17"/>
        <v>2.1255831899216295E-2</v>
      </c>
      <c r="BH16" s="185">
        <f t="shared" si="18"/>
        <v>0.03</v>
      </c>
      <c r="BI16" s="173">
        <f t="shared" si="19"/>
        <v>-7.6279159496081467E-2</v>
      </c>
      <c r="BJ16" s="175">
        <f t="shared" si="20"/>
        <v>-262.41584127059599</v>
      </c>
      <c r="BK16" s="165">
        <f>BJ16*SUM('TABLE 4 - October 2016 Dataset'!F16:H16)</f>
        <v>-101292.51473045006</v>
      </c>
      <c r="BL16" s="94">
        <f t="shared" si="21"/>
        <v>1496520.9485838285</v>
      </c>
      <c r="BM16" s="103"/>
      <c r="BN16" s="179">
        <f t="shared" si="22"/>
        <v>1477756.1585838285</v>
      </c>
      <c r="BO16" s="175">
        <f>BN16/SUM('TABLE 4 - October 2016 Dataset'!F16:H16)</f>
        <v>3828.3838305280528</v>
      </c>
      <c r="BP16" s="175">
        <f t="shared" si="23"/>
        <v>0</v>
      </c>
      <c r="BQ16" s="175">
        <f>BP16*SUM('TABLE 4 - October 2016 Dataset'!F16:H16)</f>
        <v>0</v>
      </c>
      <c r="BR16" s="94">
        <f t="shared" si="24"/>
        <v>1496520.9485838285</v>
      </c>
      <c r="BS16" s="103"/>
      <c r="BT16" s="80">
        <f t="shared" si="25"/>
        <v>1456683.3905668238</v>
      </c>
      <c r="BU16" s="122">
        <f t="shared" si="26"/>
        <v>3773.7911672715641</v>
      </c>
      <c r="BV16" s="264">
        <f t="shared" si="27"/>
        <v>1496520.9485838285</v>
      </c>
      <c r="BW16" s="81">
        <f>BV16/SUM('TABLE 4 - October 2016 Dataset'!F16:H16)</f>
        <v>3876.9972761239083</v>
      </c>
      <c r="BX16" s="264">
        <f t="shared" si="28"/>
        <v>39837.558017004747</v>
      </c>
      <c r="BY16" s="81">
        <f t="shared" si="29"/>
        <v>103.20610885234419</v>
      </c>
      <c r="BZ16" s="269">
        <f t="shared" si="30"/>
        <v>2.7348124015818764E-2</v>
      </c>
      <c r="CA16" s="103"/>
      <c r="CB16" s="80">
        <f>'TABLE 5 - DfE Published Figures'!J15</f>
        <v>1492000</v>
      </c>
      <c r="CC16" s="84">
        <f t="shared" si="31"/>
        <v>5000</v>
      </c>
      <c r="CD16" s="81"/>
      <c r="CE16" s="81"/>
      <c r="CF16" s="81"/>
      <c r="CG16" s="81"/>
      <c r="CH16" s="2"/>
    </row>
    <row r="17" spans="2:86" ht="15.75">
      <c r="B17" s="198">
        <v>2430</v>
      </c>
      <c r="C17" s="60" t="s">
        <v>23</v>
      </c>
      <c r="D17" s="204" t="s">
        <v>70</v>
      </c>
      <c r="F17" s="80">
        <v>603</v>
      </c>
      <c r="G17" s="163"/>
      <c r="H17" s="164">
        <v>0</v>
      </c>
      <c r="I17" s="94">
        <f t="shared" si="0"/>
        <v>603</v>
      </c>
      <c r="J17" s="103"/>
      <c r="K17" s="80">
        <v>1838675.8178809343</v>
      </c>
      <c r="L17" s="163"/>
      <c r="M17" s="163"/>
      <c r="N17" s="94">
        <f t="shared" si="1"/>
        <v>1838675.8178809343</v>
      </c>
      <c r="O17" s="103"/>
      <c r="P17" s="80">
        <f>P$76*'TABLE 4 - October 2016 Dataset'!F17</f>
        <v>1656434.97</v>
      </c>
      <c r="Q17" s="160"/>
      <c r="R17" s="161"/>
      <c r="S17" s="162">
        <f t="shared" si="3"/>
        <v>1656434.97</v>
      </c>
      <c r="T17" s="165">
        <f>T$76*'TABLE 4 - October 2016 Dataset'!I17</f>
        <v>7480.0000000000091</v>
      </c>
      <c r="U17" s="165">
        <f>U$76*'TABLE 4 - October 2016 Dataset'!J17</f>
        <v>20901.283783783783</v>
      </c>
      <c r="V17" s="165">
        <f>V$76*'TABLE 4 - October 2016 Dataset'!K17</f>
        <v>0</v>
      </c>
      <c r="W17" s="165">
        <f>W$76*'TABLE 4 - October 2016 Dataset'!L17</f>
        <v>6821.8181818181729</v>
      </c>
      <c r="X17" s="165">
        <f>X$76*'TABLE 4 - October 2016 Dataset'!M17</f>
        <v>0</v>
      </c>
      <c r="Y17" s="165">
        <f>Y$76*'TABLE 4 - October 2016 Dataset'!N17</f>
        <v>5116.3636363636433</v>
      </c>
      <c r="Z17" s="165">
        <f>Z$76*'TABLE 4 - October 2016 Dataset'!O17</f>
        <v>487.27272727272771</v>
      </c>
      <c r="AA17" s="165">
        <f>AA$76*'TABLE 4 - October 2016 Dataset'!P17</f>
        <v>812.12121212121178</v>
      </c>
      <c r="AB17" s="162">
        <f t="shared" si="4"/>
        <v>41618.859541359547</v>
      </c>
      <c r="AC17" s="140">
        <f>AC$76*'TABLE 4 - October 2016 Dataset'!Q17</f>
        <v>160365.55789473688</v>
      </c>
      <c r="AD17" s="140">
        <f>AD$76*'TABLE 4 - October 2016 Dataset'!R17</f>
        <v>14556.796875</v>
      </c>
      <c r="AE17" s="140">
        <f>AE$76*'TABLE 4 - October 2016 Dataset'!S17</f>
        <v>0</v>
      </c>
      <c r="AF17" s="140">
        <f t="shared" si="5"/>
        <v>110000</v>
      </c>
      <c r="AG17" s="140">
        <f>IF('TABLE 4 - October 2016 Dataset'!X17="No",0,"*CHECK*")</f>
        <v>0</v>
      </c>
      <c r="AH17" s="140">
        <f>'TABLE 4 - October 2016 Dataset'!Y17</f>
        <v>72708.84</v>
      </c>
      <c r="AI17" s="170">
        <f>IF('TABLE 4 - October 2016 Dataset'!Z17&gt;0,('TABLE 4 - October 2016 Dataset'!Z17*(1+AI$79))-((AI$76*SUM('TABLE 4 - October 2016 Dataset'!F17:H17))+AI$77),0)</f>
        <v>0</v>
      </c>
      <c r="AJ17" s="166" t="str">
        <f>IF('TABLE 4 - October 2016 Dataset'!AA17="Yes",'TABLE 1 - 2018-19 Provisional'!AJ$76*SUM('TABLE 4 - October 2016 Dataset'!F17:H17),"")</f>
        <v/>
      </c>
      <c r="AK17" s="140">
        <f t="shared" si="6"/>
        <v>0</v>
      </c>
      <c r="AL17" s="94">
        <f t="shared" si="7"/>
        <v>2055685.0243110966</v>
      </c>
      <c r="AM17" s="103"/>
      <c r="AN17" s="80">
        <f t="shared" si="8"/>
        <v>1982976.1843110966</v>
      </c>
      <c r="AO17" s="165">
        <f>AN17/SUM('TABLE 4 - October 2016 Dataset'!F17:H17)</f>
        <v>3288.5177185921998</v>
      </c>
      <c r="AP17" s="165">
        <f t="shared" si="2"/>
        <v>11.482281407800201</v>
      </c>
      <c r="AQ17" s="165">
        <f>AP17*SUM('TABLE 4 - October 2016 Dataset'!F17:H17)</f>
        <v>6923.8156889035217</v>
      </c>
      <c r="AR17" s="94">
        <f t="shared" si="9"/>
        <v>2062608.84</v>
      </c>
      <c r="AS17" s="103"/>
      <c r="AT17" s="80">
        <f>N17-(AF17+AG17+'TABLE 4 - October 2016 Dataset'!Y17)</f>
        <v>1655966.9778809343</v>
      </c>
      <c r="AU17" s="187">
        <f t="shared" si="10"/>
        <v>1879900</v>
      </c>
      <c r="AV17" s="165">
        <f t="shared" si="11"/>
        <v>2746.2138936665579</v>
      </c>
      <c r="AW17" s="165">
        <f>AU17/SUM('TABLE 4 - October 2016 Dataset'!F17:H17)</f>
        <v>3117.5787728026535</v>
      </c>
      <c r="AX17" s="173">
        <f t="shared" si="12"/>
        <v>0.13522795146894939</v>
      </c>
      <c r="AY17" s="173">
        <f t="shared" si="13"/>
        <v>0</v>
      </c>
      <c r="AZ17" s="175">
        <f t="shared" si="14"/>
        <v>0</v>
      </c>
      <c r="BA17" s="165">
        <f>AZ17*SUM('TABLE 4 - October 2016 Dataset'!F17:H17)</f>
        <v>0</v>
      </c>
      <c r="BB17" s="94">
        <f t="shared" si="15"/>
        <v>2062608.84</v>
      </c>
      <c r="BC17" s="103"/>
      <c r="BD17" s="184">
        <f>'TABLE 3 - Target Illustrative'!AR17-(AF17+AG17+AH17)</f>
        <v>2000500.0000000002</v>
      </c>
      <c r="BE17" s="165">
        <f>BD17/SUM('TABLE 4 - October 2016 Dataset'!F17:H17)</f>
        <v>3317.5787728026539</v>
      </c>
      <c r="BF17" s="173">
        <f t="shared" si="16"/>
        <v>0.20805549067164919</v>
      </c>
      <c r="BG17" s="185">
        <f t="shared" si="17"/>
        <v>4.1611098134329838E-2</v>
      </c>
      <c r="BH17" s="185">
        <f t="shared" si="18"/>
        <v>4.1611098134329838E-2</v>
      </c>
      <c r="BI17" s="173">
        <f t="shared" si="19"/>
        <v>-9.3616853334619554E-2</v>
      </c>
      <c r="BJ17" s="175">
        <f t="shared" si="20"/>
        <v>-257.09190330887662</v>
      </c>
      <c r="BK17" s="165">
        <f>BJ17*SUM('TABLE 4 - October 2016 Dataset'!F17:H17)</f>
        <v>-155026.4176952526</v>
      </c>
      <c r="BL17" s="94">
        <f t="shared" si="21"/>
        <v>1907582.4223047474</v>
      </c>
      <c r="BM17" s="103"/>
      <c r="BN17" s="179">
        <f t="shared" si="22"/>
        <v>1834873.5823047473</v>
      </c>
      <c r="BO17" s="175">
        <f>BN17/SUM('TABLE 4 - October 2016 Dataset'!F17:H17)</f>
        <v>3042.9080966911233</v>
      </c>
      <c r="BP17" s="175">
        <f t="shared" si="23"/>
        <v>257.09190330887668</v>
      </c>
      <c r="BQ17" s="175">
        <f>BP17*SUM('TABLE 4 - October 2016 Dataset'!F17:H17)</f>
        <v>155026.41769525263</v>
      </c>
      <c r="BR17" s="94">
        <f t="shared" si="24"/>
        <v>2062608.84</v>
      </c>
      <c r="BS17" s="103"/>
      <c r="BT17" s="80">
        <f t="shared" si="25"/>
        <v>1838675.8178809343</v>
      </c>
      <c r="BU17" s="122">
        <f t="shared" si="26"/>
        <v>3049.2136283265909</v>
      </c>
      <c r="BV17" s="264">
        <f t="shared" si="27"/>
        <v>2062608.84</v>
      </c>
      <c r="BW17" s="81">
        <f>BV17/SUM('TABLE 4 - October 2016 Dataset'!F17:H17)</f>
        <v>3420.5785074626865</v>
      </c>
      <c r="BX17" s="264">
        <f t="shared" si="28"/>
        <v>223933.02211906575</v>
      </c>
      <c r="BY17" s="81">
        <f t="shared" si="29"/>
        <v>371.36487913609562</v>
      </c>
      <c r="BZ17" s="269">
        <f t="shared" si="30"/>
        <v>0.12179037758659787</v>
      </c>
      <c r="CA17" s="103"/>
      <c r="CB17" s="80">
        <f>'TABLE 5 - DfE Published Figures'!J16</f>
        <v>2063000</v>
      </c>
      <c r="CC17" s="84">
        <f t="shared" si="31"/>
        <v>0</v>
      </c>
      <c r="CD17" s="81"/>
      <c r="CE17" s="81"/>
      <c r="CF17" s="81"/>
      <c r="CG17" s="81"/>
      <c r="CH17" s="2"/>
    </row>
    <row r="18" spans="2:86" ht="15.75">
      <c r="B18" s="198">
        <v>2013</v>
      </c>
      <c r="C18" s="60" t="s">
        <v>24</v>
      </c>
      <c r="D18" s="204"/>
      <c r="F18" s="80">
        <v>397</v>
      </c>
      <c r="G18" s="163"/>
      <c r="H18" s="164">
        <v>-1</v>
      </c>
      <c r="I18" s="94">
        <f t="shared" si="0"/>
        <v>396</v>
      </c>
      <c r="J18" s="103"/>
      <c r="K18" s="80">
        <v>1196261.0565050915</v>
      </c>
      <c r="L18" s="163"/>
      <c r="M18" s="163"/>
      <c r="N18" s="94">
        <f t="shared" si="1"/>
        <v>1196261.0565050915</v>
      </c>
      <c r="O18" s="103"/>
      <c r="P18" s="80">
        <f>P$76*'TABLE 4 - October 2016 Dataset'!F18</f>
        <v>1087808.0399999998</v>
      </c>
      <c r="Q18" s="160"/>
      <c r="R18" s="161"/>
      <c r="S18" s="162">
        <f t="shared" si="3"/>
        <v>1087808.0399999998</v>
      </c>
      <c r="T18" s="165">
        <f>T$76*'TABLE 4 - October 2016 Dataset'!I18</f>
        <v>1759.9999999999998</v>
      </c>
      <c r="U18" s="165">
        <f>U$76*'TABLE 4 - October 2016 Dataset'!J18</f>
        <v>10559.999999999998</v>
      </c>
      <c r="V18" s="165">
        <f>V$76*'TABLE 4 - October 2016 Dataset'!K18</f>
        <v>0</v>
      </c>
      <c r="W18" s="165">
        <f>W$76*'TABLE 4 - October 2016 Dataset'!L18</f>
        <v>0</v>
      </c>
      <c r="X18" s="165">
        <f>X$76*'TABLE 4 - October 2016 Dataset'!M18</f>
        <v>0</v>
      </c>
      <c r="Y18" s="165">
        <f>Y$76*'TABLE 4 - October 2016 Dataset'!N18</f>
        <v>1080.0000000000007</v>
      </c>
      <c r="Z18" s="165">
        <f>Z$76*'TABLE 4 - October 2016 Dataset'!O18</f>
        <v>0</v>
      </c>
      <c r="AA18" s="165">
        <f>AA$76*'TABLE 4 - October 2016 Dataset'!P18</f>
        <v>1200.0000000000039</v>
      </c>
      <c r="AB18" s="162">
        <f t="shared" si="4"/>
        <v>14600.000000000002</v>
      </c>
      <c r="AC18" s="140">
        <f>AC$76*'TABLE 4 - October 2016 Dataset'!Q18</f>
        <v>91785.490654205554</v>
      </c>
      <c r="AD18" s="140">
        <f>AD$76*'TABLE 4 - October 2016 Dataset'!R18</f>
        <v>1217.5522388059694</v>
      </c>
      <c r="AE18" s="140">
        <f>AE$76*'TABLE 4 - October 2016 Dataset'!S18</f>
        <v>0</v>
      </c>
      <c r="AF18" s="140">
        <f t="shared" si="5"/>
        <v>110000</v>
      </c>
      <c r="AG18" s="140">
        <f>IF('TABLE 4 - October 2016 Dataset'!X18="No",0,"*CHECK*")</f>
        <v>0</v>
      </c>
      <c r="AH18" s="140">
        <f>'TABLE 4 - October 2016 Dataset'!Y18</f>
        <v>20044.21</v>
      </c>
      <c r="AI18" s="170">
        <f>IF('TABLE 4 - October 2016 Dataset'!Z18&gt;0,('TABLE 4 - October 2016 Dataset'!Z18*(1+AI$79))-((AI$76*SUM('TABLE 4 - October 2016 Dataset'!F18:H18))+AI$77),0)</f>
        <v>0</v>
      </c>
      <c r="AJ18" s="166" t="str">
        <f>IF('TABLE 4 - October 2016 Dataset'!AA18="Yes",'TABLE 1 - 2018-19 Provisional'!AJ$76*SUM('TABLE 4 - October 2016 Dataset'!F18:H18),"")</f>
        <v/>
      </c>
      <c r="AK18" s="140">
        <f t="shared" si="6"/>
        <v>0</v>
      </c>
      <c r="AL18" s="94">
        <f t="shared" si="7"/>
        <v>1325455.2928930114</v>
      </c>
      <c r="AM18" s="103"/>
      <c r="AN18" s="80">
        <f t="shared" si="8"/>
        <v>1305411.0828930114</v>
      </c>
      <c r="AO18" s="165">
        <f>AN18/SUM('TABLE 4 - October 2016 Dataset'!F18:H18)</f>
        <v>3296.4926335682107</v>
      </c>
      <c r="AP18" s="165">
        <f t="shared" si="2"/>
        <v>3.5073664317892508</v>
      </c>
      <c r="AQ18" s="165">
        <f>AP18*SUM('TABLE 4 - October 2016 Dataset'!F18:H18)</f>
        <v>1388.9171069885433</v>
      </c>
      <c r="AR18" s="94">
        <f t="shared" si="9"/>
        <v>1326844.21</v>
      </c>
      <c r="AS18" s="103"/>
      <c r="AT18" s="80">
        <f>N18-(AF18+AG18+'TABLE 4 - October 2016 Dataset'!Y18)</f>
        <v>1066216.8465050915</v>
      </c>
      <c r="AU18" s="187">
        <f t="shared" si="10"/>
        <v>1196800</v>
      </c>
      <c r="AV18" s="165">
        <f t="shared" si="11"/>
        <v>2692.4667841037663</v>
      </c>
      <c r="AW18" s="165">
        <f>AU18/SUM('TABLE 4 - October 2016 Dataset'!F18:H18)</f>
        <v>3022.2222222222222</v>
      </c>
      <c r="AX18" s="173">
        <f t="shared" si="12"/>
        <v>0.12247335419895289</v>
      </c>
      <c r="AY18" s="173">
        <f t="shared" si="13"/>
        <v>0</v>
      </c>
      <c r="AZ18" s="175">
        <f t="shared" si="14"/>
        <v>0</v>
      </c>
      <c r="BA18" s="165">
        <f>AZ18*SUM('TABLE 4 - October 2016 Dataset'!F18:H18)</f>
        <v>0</v>
      </c>
      <c r="BB18" s="94">
        <f t="shared" si="15"/>
        <v>1326844.21</v>
      </c>
      <c r="BC18" s="103"/>
      <c r="BD18" s="184">
        <f>'TABLE 3 - Target Illustrative'!AR18-(AF18+AG18+AH18)</f>
        <v>1276000</v>
      </c>
      <c r="BE18" s="165">
        <f>BD18/SUM('TABLE 4 - October 2016 Dataset'!F18:H18)</f>
        <v>3222.2222222222222</v>
      </c>
      <c r="BF18" s="173">
        <f t="shared" si="16"/>
        <v>0.19675467910917765</v>
      </c>
      <c r="BG18" s="185">
        <f t="shared" si="17"/>
        <v>3.9350935821835534E-2</v>
      </c>
      <c r="BH18" s="185">
        <f t="shared" si="18"/>
        <v>3.9350935821835534E-2</v>
      </c>
      <c r="BI18" s="173">
        <f t="shared" si="19"/>
        <v>-8.3122418377117355E-2</v>
      </c>
      <c r="BJ18" s="175">
        <f t="shared" si="20"/>
        <v>-223.80435049476498</v>
      </c>
      <c r="BK18" s="165">
        <f>BJ18*SUM('TABLE 4 - October 2016 Dataset'!F18:H18)</f>
        <v>-88626.522795926925</v>
      </c>
      <c r="BL18" s="94">
        <f t="shared" si="21"/>
        <v>1238217.687204073</v>
      </c>
      <c r="BM18" s="103"/>
      <c r="BN18" s="179">
        <f t="shared" si="22"/>
        <v>1218173.477204073</v>
      </c>
      <c r="BO18" s="175">
        <f>BN18/SUM('TABLE 4 - October 2016 Dataset'!F18:H18)</f>
        <v>3076.195649505235</v>
      </c>
      <c r="BP18" s="175">
        <f t="shared" si="23"/>
        <v>223.804350494765</v>
      </c>
      <c r="BQ18" s="175">
        <f>BP18*SUM('TABLE 4 - October 2016 Dataset'!F18:H18)</f>
        <v>88626.52279592694</v>
      </c>
      <c r="BR18" s="94">
        <f t="shared" si="24"/>
        <v>1326844.21</v>
      </c>
      <c r="BS18" s="103"/>
      <c r="BT18" s="80">
        <f t="shared" si="25"/>
        <v>1196261.0565050915</v>
      </c>
      <c r="BU18" s="122">
        <f t="shared" si="26"/>
        <v>3020.861253800736</v>
      </c>
      <c r="BV18" s="264">
        <f t="shared" si="27"/>
        <v>1326844.21</v>
      </c>
      <c r="BW18" s="81">
        <f>BV18/SUM('TABLE 4 - October 2016 Dataset'!F18:H18)</f>
        <v>3350.6166919191919</v>
      </c>
      <c r="BX18" s="264">
        <f t="shared" si="28"/>
        <v>130583.15349490847</v>
      </c>
      <c r="BY18" s="81">
        <f t="shared" si="29"/>
        <v>329.75543811845591</v>
      </c>
      <c r="BZ18" s="269">
        <f t="shared" si="30"/>
        <v>0.10915941197351246</v>
      </c>
      <c r="CA18" s="103"/>
      <c r="CB18" s="80">
        <f>'TABLE 5 - DfE Published Figures'!J17</f>
        <v>1327000</v>
      </c>
      <c r="CC18" s="84">
        <f t="shared" si="31"/>
        <v>0</v>
      </c>
      <c r="CD18" s="81"/>
      <c r="CE18" s="81"/>
      <c r="CF18" s="81"/>
      <c r="CG18" s="81"/>
      <c r="CH18" s="2"/>
    </row>
    <row r="19" spans="2:86" ht="15.75">
      <c r="B19" s="198">
        <v>2007</v>
      </c>
      <c r="C19" s="60" t="s">
        <v>25</v>
      </c>
      <c r="D19" s="204"/>
      <c r="F19" s="80">
        <v>290</v>
      </c>
      <c r="G19" s="163"/>
      <c r="H19" s="164">
        <v>0</v>
      </c>
      <c r="I19" s="94">
        <f t="shared" si="0"/>
        <v>290</v>
      </c>
      <c r="J19" s="103"/>
      <c r="K19" s="80">
        <v>956811.6401583699</v>
      </c>
      <c r="L19" s="163"/>
      <c r="M19" s="163"/>
      <c r="N19" s="94">
        <f t="shared" si="1"/>
        <v>956811.6401583699</v>
      </c>
      <c r="O19" s="103"/>
      <c r="P19" s="80">
        <f>P$76*'TABLE 4 - October 2016 Dataset'!F19</f>
        <v>796627.1</v>
      </c>
      <c r="Q19" s="160"/>
      <c r="R19" s="161"/>
      <c r="S19" s="162">
        <f t="shared" si="3"/>
        <v>796627.1</v>
      </c>
      <c r="T19" s="165">
        <f>T$76*'TABLE 4 - October 2016 Dataset'!I19</f>
        <v>9240.0000000000036</v>
      </c>
      <c r="U19" s="165">
        <f>U$76*'TABLE 4 - October 2016 Dataset'!J19</f>
        <v>21750</v>
      </c>
      <c r="V19" s="165">
        <f>V$76*'TABLE 4 - October 2016 Dataset'!K19</f>
        <v>0</v>
      </c>
      <c r="W19" s="165">
        <f>W$76*'TABLE 4 - October 2016 Dataset'!L19</f>
        <v>0</v>
      </c>
      <c r="X19" s="165">
        <f>X$76*'TABLE 4 - October 2016 Dataset'!M19</f>
        <v>1587.3684210526264</v>
      </c>
      <c r="Y19" s="165">
        <f>Y$76*'TABLE 4 - October 2016 Dataset'!N19</f>
        <v>2564.2105263157864</v>
      </c>
      <c r="Z19" s="165">
        <f>Z$76*'TABLE 4 - October 2016 Dataset'!O19</f>
        <v>0</v>
      </c>
      <c r="AA19" s="165">
        <f>AA$76*'TABLE 4 - October 2016 Dataset'!P19</f>
        <v>14245.614035087703</v>
      </c>
      <c r="AB19" s="162">
        <f t="shared" si="4"/>
        <v>49387.192982456116</v>
      </c>
      <c r="AC19" s="140">
        <f>AC$76*'TABLE 4 - October 2016 Dataset'!Q19</f>
        <v>61931.875624375556</v>
      </c>
      <c r="AD19" s="140">
        <f>AD$76*'TABLE 4 - October 2016 Dataset'!R19</f>
        <v>4876.7346938775518</v>
      </c>
      <c r="AE19" s="140">
        <f>AE$76*'TABLE 4 - October 2016 Dataset'!S19</f>
        <v>0</v>
      </c>
      <c r="AF19" s="140">
        <f t="shared" si="5"/>
        <v>110000</v>
      </c>
      <c r="AG19" s="140">
        <f>IF('TABLE 4 - October 2016 Dataset'!X19="No",0,"*CHECK*")</f>
        <v>0</v>
      </c>
      <c r="AH19" s="140">
        <f>'TABLE 4 - October 2016 Dataset'!Y19</f>
        <v>19475.580000000002</v>
      </c>
      <c r="AI19" s="170">
        <f>IF('TABLE 4 - October 2016 Dataset'!Z19&gt;0,('TABLE 4 - October 2016 Dataset'!Z19*(1+AI$79))-((AI$76*SUM('TABLE 4 - October 2016 Dataset'!F19:H19))+AI$77),0)</f>
        <v>0</v>
      </c>
      <c r="AJ19" s="166" t="str">
        <f>IF('TABLE 4 - October 2016 Dataset'!AA19="Yes",'TABLE 1 - 2018-19 Provisional'!AJ$76*SUM('TABLE 4 - October 2016 Dataset'!F19:H19),"")</f>
        <v/>
      </c>
      <c r="AK19" s="140">
        <f t="shared" si="6"/>
        <v>0</v>
      </c>
      <c r="AL19" s="94">
        <f t="shared" si="7"/>
        <v>1042298.483300709</v>
      </c>
      <c r="AM19" s="103"/>
      <c r="AN19" s="80">
        <f t="shared" si="8"/>
        <v>1022822.9033007091</v>
      </c>
      <c r="AO19" s="165">
        <f>AN19/SUM('TABLE 4 - October 2016 Dataset'!F19:H19)</f>
        <v>3526.9755286231348</v>
      </c>
      <c r="AP19" s="165">
        <f t="shared" si="2"/>
        <v>0</v>
      </c>
      <c r="AQ19" s="165">
        <f>AP19*SUM('TABLE 4 - October 2016 Dataset'!F19:H19)</f>
        <v>0</v>
      </c>
      <c r="AR19" s="94">
        <f t="shared" si="9"/>
        <v>1042298.483300709</v>
      </c>
      <c r="AS19" s="103"/>
      <c r="AT19" s="80">
        <f>N19-(AF19+AG19+'TABLE 4 - October 2016 Dataset'!Y19)</f>
        <v>827336.06015836995</v>
      </c>
      <c r="AU19" s="187">
        <f t="shared" si="10"/>
        <v>912822.90330070909</v>
      </c>
      <c r="AV19" s="165">
        <f t="shared" si="11"/>
        <v>2852.8829660633446</v>
      </c>
      <c r="AW19" s="165">
        <f>AU19/SUM('TABLE 4 - October 2016 Dataset'!F19:H19)</f>
        <v>3147.6651837955487</v>
      </c>
      <c r="AX19" s="173">
        <f t="shared" si="12"/>
        <v>0.10332783406778523</v>
      </c>
      <c r="AY19" s="173">
        <f t="shared" si="13"/>
        <v>0</v>
      </c>
      <c r="AZ19" s="175">
        <f t="shared" si="14"/>
        <v>0</v>
      </c>
      <c r="BA19" s="165">
        <f>AZ19*SUM('TABLE 4 - October 2016 Dataset'!F19:H19)</f>
        <v>0</v>
      </c>
      <c r="BB19" s="94">
        <f t="shared" si="15"/>
        <v>1042298.483300709</v>
      </c>
      <c r="BC19" s="103"/>
      <c r="BD19" s="184">
        <f>'TABLE 3 - Target Illustrative'!AR19-(AF19+AG19+AH19)</f>
        <v>912822.90330070909</v>
      </c>
      <c r="BE19" s="165">
        <f>BD19/SUM('TABLE 4 - October 2016 Dataset'!F19:H19)</f>
        <v>3147.6651837955487</v>
      </c>
      <c r="BF19" s="173">
        <f t="shared" si="16"/>
        <v>0.10332783406778523</v>
      </c>
      <c r="BG19" s="185">
        <f t="shared" si="17"/>
        <v>2.0665566813557048E-2</v>
      </c>
      <c r="BH19" s="185">
        <f t="shared" si="18"/>
        <v>0.03</v>
      </c>
      <c r="BI19" s="173">
        <f t="shared" si="19"/>
        <v>-7.332783406778523E-2</v>
      </c>
      <c r="BJ19" s="175">
        <f t="shared" si="20"/>
        <v>-209.19572875030389</v>
      </c>
      <c r="BK19" s="165">
        <f>BJ19*SUM('TABLE 4 - October 2016 Dataset'!F19:H19)</f>
        <v>-60666.761337588126</v>
      </c>
      <c r="BL19" s="94">
        <f t="shared" si="21"/>
        <v>981631.72196312097</v>
      </c>
      <c r="BM19" s="103"/>
      <c r="BN19" s="179">
        <f t="shared" si="22"/>
        <v>962156.14196312102</v>
      </c>
      <c r="BO19" s="175">
        <f>BN19/SUM('TABLE 4 - October 2016 Dataset'!F19:H19)</f>
        <v>3317.7797998728311</v>
      </c>
      <c r="BP19" s="175">
        <f t="shared" si="23"/>
        <v>0</v>
      </c>
      <c r="BQ19" s="175">
        <f>BP19*SUM('TABLE 4 - October 2016 Dataset'!F19:H19)</f>
        <v>0</v>
      </c>
      <c r="BR19" s="94">
        <f t="shared" si="24"/>
        <v>981631.72196312097</v>
      </c>
      <c r="BS19" s="103"/>
      <c r="BT19" s="80">
        <f t="shared" si="25"/>
        <v>956811.6401583699</v>
      </c>
      <c r="BU19" s="122">
        <f t="shared" si="26"/>
        <v>3299.3504833047236</v>
      </c>
      <c r="BV19" s="264">
        <f t="shared" si="27"/>
        <v>981631.72196312097</v>
      </c>
      <c r="BW19" s="81">
        <f>BV19/SUM('TABLE 4 - October 2016 Dataset'!F19:H19)</f>
        <v>3384.936972286624</v>
      </c>
      <c r="BX19" s="264">
        <f t="shared" si="28"/>
        <v>24820.081804751069</v>
      </c>
      <c r="BY19" s="81">
        <f t="shared" si="29"/>
        <v>85.586488981900402</v>
      </c>
      <c r="BZ19" s="269">
        <f t="shared" si="30"/>
        <v>2.5940405366141801E-2</v>
      </c>
      <c r="CA19" s="103"/>
      <c r="CB19" s="80">
        <f>'TABLE 5 - DfE Published Figures'!J18</f>
        <v>976000</v>
      </c>
      <c r="CC19" s="84">
        <f t="shared" si="31"/>
        <v>6000</v>
      </c>
      <c r="CD19" s="81"/>
      <c r="CE19" s="81"/>
      <c r="CF19" s="81"/>
      <c r="CG19" s="81"/>
      <c r="CH19" s="2"/>
    </row>
    <row r="20" spans="2:86" ht="15.75">
      <c r="B20" s="198">
        <v>3151</v>
      </c>
      <c r="C20" s="60" t="s">
        <v>26</v>
      </c>
      <c r="D20" s="204"/>
      <c r="F20" s="80">
        <v>254</v>
      </c>
      <c r="G20" s="163"/>
      <c r="H20" s="164">
        <v>-1</v>
      </c>
      <c r="I20" s="94">
        <f t="shared" si="0"/>
        <v>253</v>
      </c>
      <c r="J20" s="103"/>
      <c r="K20" s="80">
        <v>827075.54038323567</v>
      </c>
      <c r="L20" s="163"/>
      <c r="M20" s="163"/>
      <c r="N20" s="94">
        <f t="shared" si="1"/>
        <v>827075.54038323567</v>
      </c>
      <c r="O20" s="103"/>
      <c r="P20" s="80">
        <f>P$76*'TABLE 4 - October 2016 Dataset'!F20</f>
        <v>694988.47</v>
      </c>
      <c r="Q20" s="160"/>
      <c r="R20" s="161"/>
      <c r="S20" s="162">
        <f t="shared" si="3"/>
        <v>694988.47</v>
      </c>
      <c r="T20" s="165">
        <f>T$76*'TABLE 4 - October 2016 Dataset'!I20</f>
        <v>3079.9999999999977</v>
      </c>
      <c r="U20" s="165">
        <f>U$76*'TABLE 4 - October 2016 Dataset'!J20</f>
        <v>8230.12048192771</v>
      </c>
      <c r="V20" s="165">
        <f>V$76*'TABLE 4 - October 2016 Dataset'!K20</f>
        <v>0</v>
      </c>
      <c r="W20" s="165">
        <f>W$76*'TABLE 4 - October 2016 Dataset'!L20</f>
        <v>0</v>
      </c>
      <c r="X20" s="165">
        <f>X$76*'TABLE 4 - October 2016 Dataset'!M20</f>
        <v>0</v>
      </c>
      <c r="Y20" s="165">
        <f>Y$76*'TABLE 4 - October 2016 Dataset'!N20</f>
        <v>0</v>
      </c>
      <c r="Z20" s="165">
        <f>Z$76*'TABLE 4 - October 2016 Dataset'!O20</f>
        <v>0</v>
      </c>
      <c r="AA20" s="165">
        <f>AA$76*'TABLE 4 - October 2016 Dataset'!P20</f>
        <v>0</v>
      </c>
      <c r="AB20" s="162">
        <f t="shared" si="4"/>
        <v>11310.120481927708</v>
      </c>
      <c r="AC20" s="140">
        <f>AC$76*'TABLE 4 - October 2016 Dataset'!Q20</f>
        <v>52250.748346676002</v>
      </c>
      <c r="AD20" s="140">
        <f>AD$76*'TABLE 4 - October 2016 Dataset'!R20</f>
        <v>4126.9909502262472</v>
      </c>
      <c r="AE20" s="140">
        <f>AE$76*'TABLE 4 - October 2016 Dataset'!S20</f>
        <v>0</v>
      </c>
      <c r="AF20" s="140">
        <f t="shared" si="5"/>
        <v>110000</v>
      </c>
      <c r="AG20" s="140">
        <f>IF('TABLE 4 - October 2016 Dataset'!X20="No",0,"*CHECK*")</f>
        <v>0</v>
      </c>
      <c r="AH20" s="140">
        <f>'TABLE 4 - October 2016 Dataset'!Y20</f>
        <v>20328.53</v>
      </c>
      <c r="AI20" s="170">
        <f>IF('TABLE 4 - October 2016 Dataset'!Z20&gt;0,('TABLE 4 - October 2016 Dataset'!Z20*(1+AI$79))-((AI$76*SUM('TABLE 4 - October 2016 Dataset'!F20:H20))+AI$77),0)</f>
        <v>0</v>
      </c>
      <c r="AJ20" s="166" t="str">
        <f>IF('TABLE 4 - October 2016 Dataset'!AA20="Yes",'TABLE 1 - 2018-19 Provisional'!AJ$76*SUM('TABLE 4 - October 2016 Dataset'!F20:H20),"")</f>
        <v/>
      </c>
      <c r="AK20" s="140">
        <f t="shared" si="6"/>
        <v>0</v>
      </c>
      <c r="AL20" s="94">
        <f t="shared" si="7"/>
        <v>893004.85977882997</v>
      </c>
      <c r="AM20" s="103"/>
      <c r="AN20" s="80">
        <f t="shared" si="8"/>
        <v>872676.32977882994</v>
      </c>
      <c r="AO20" s="165">
        <f>AN20/SUM('TABLE 4 - October 2016 Dataset'!F20:H20)</f>
        <v>3449.3135564380632</v>
      </c>
      <c r="AP20" s="165">
        <f t="shared" si="2"/>
        <v>0</v>
      </c>
      <c r="AQ20" s="165">
        <f>AP20*SUM('TABLE 4 - October 2016 Dataset'!F20:H20)</f>
        <v>0</v>
      </c>
      <c r="AR20" s="94">
        <f t="shared" si="9"/>
        <v>893004.85977882997</v>
      </c>
      <c r="AS20" s="103"/>
      <c r="AT20" s="80">
        <f>N20-(AF20+AG20+'TABLE 4 - October 2016 Dataset'!Y20)</f>
        <v>696747.01038323564</v>
      </c>
      <c r="AU20" s="187">
        <f t="shared" si="10"/>
        <v>762676.32977882994</v>
      </c>
      <c r="AV20" s="165">
        <f t="shared" si="11"/>
        <v>2753.9407525029078</v>
      </c>
      <c r="AW20" s="165">
        <f>AU20/SUM('TABLE 4 - October 2016 Dataset'!F20:H20)</f>
        <v>3014.5309477424107</v>
      </c>
      <c r="AX20" s="173">
        <f t="shared" si="12"/>
        <v>9.4624474038762951E-2</v>
      </c>
      <c r="AY20" s="173">
        <f t="shared" si="13"/>
        <v>0</v>
      </c>
      <c r="AZ20" s="175">
        <f t="shared" si="14"/>
        <v>0</v>
      </c>
      <c r="BA20" s="165">
        <f>AZ20*SUM('TABLE 4 - October 2016 Dataset'!F20:H20)</f>
        <v>0</v>
      </c>
      <c r="BB20" s="94">
        <f t="shared" si="15"/>
        <v>893004.85977882997</v>
      </c>
      <c r="BC20" s="103"/>
      <c r="BD20" s="184">
        <f>'TABLE 3 - Target Illustrative'!AR20-(AF20+AG20+AH20)</f>
        <v>775500</v>
      </c>
      <c r="BE20" s="165">
        <f>BD20/SUM('TABLE 4 - October 2016 Dataset'!F20:H20)</f>
        <v>3065.217391304348</v>
      </c>
      <c r="BF20" s="173">
        <f t="shared" si="16"/>
        <v>0.11302953359419132</v>
      </c>
      <c r="BG20" s="185">
        <f t="shared" si="17"/>
        <v>2.2605906718838265E-2</v>
      </c>
      <c r="BH20" s="185">
        <f t="shared" si="18"/>
        <v>0.03</v>
      </c>
      <c r="BI20" s="173">
        <f t="shared" si="19"/>
        <v>-6.4624474038762952E-2</v>
      </c>
      <c r="BJ20" s="175">
        <f t="shared" si="20"/>
        <v>-177.97197266441546</v>
      </c>
      <c r="BK20" s="165">
        <f>BJ20*SUM('TABLE 4 - October 2016 Dataset'!F20:H20)</f>
        <v>-45026.909084097111</v>
      </c>
      <c r="BL20" s="94">
        <f t="shared" si="21"/>
        <v>847977.95069473283</v>
      </c>
      <c r="BM20" s="103"/>
      <c r="BN20" s="179">
        <f t="shared" si="22"/>
        <v>827649.42069473281</v>
      </c>
      <c r="BO20" s="175">
        <f>BN20/SUM('TABLE 4 - October 2016 Dataset'!F20:H20)</f>
        <v>3271.3415837736475</v>
      </c>
      <c r="BP20" s="175">
        <f t="shared" si="23"/>
        <v>28.658416226352529</v>
      </c>
      <c r="BQ20" s="175">
        <f>BP20*SUM('TABLE 4 - October 2016 Dataset'!F20:H20)</f>
        <v>7250.5793052671897</v>
      </c>
      <c r="BR20" s="94">
        <f t="shared" si="24"/>
        <v>855228.53</v>
      </c>
      <c r="BS20" s="103"/>
      <c r="BT20" s="80">
        <f t="shared" si="25"/>
        <v>827075.54038323567</v>
      </c>
      <c r="BU20" s="122">
        <f t="shared" si="26"/>
        <v>3269.0732821471765</v>
      </c>
      <c r="BV20" s="264">
        <f t="shared" si="27"/>
        <v>855228.53</v>
      </c>
      <c r="BW20" s="81">
        <f>BV20/SUM('TABLE 4 - October 2016 Dataset'!F20:H20)</f>
        <v>3380.3499209486167</v>
      </c>
      <c r="BX20" s="264">
        <f t="shared" si="28"/>
        <v>28152.98961676436</v>
      </c>
      <c r="BY20" s="81">
        <f t="shared" si="29"/>
        <v>111.27663880144019</v>
      </c>
      <c r="BZ20" s="269">
        <f t="shared" si="30"/>
        <v>3.4039199857995237E-2</v>
      </c>
      <c r="CA20" s="103"/>
      <c r="CB20" s="80">
        <f>'TABLE 5 - DfE Published Figures'!J19</f>
        <v>855000</v>
      </c>
      <c r="CC20" s="84">
        <f t="shared" si="31"/>
        <v>0</v>
      </c>
      <c r="CD20" s="81"/>
      <c r="CE20" s="81"/>
      <c r="CF20" s="81"/>
      <c r="CG20" s="81"/>
      <c r="CH20" s="2"/>
    </row>
    <row r="21" spans="2:86" ht="15.75">
      <c r="B21" s="198">
        <v>3152</v>
      </c>
      <c r="C21" s="60" t="s">
        <v>27</v>
      </c>
      <c r="D21" s="204"/>
      <c r="F21" s="80">
        <v>149</v>
      </c>
      <c r="G21" s="163"/>
      <c r="H21" s="164">
        <v>-1</v>
      </c>
      <c r="I21" s="94">
        <f t="shared" si="0"/>
        <v>148</v>
      </c>
      <c r="J21" s="103"/>
      <c r="K21" s="80">
        <v>554825.35785972222</v>
      </c>
      <c r="L21" s="163"/>
      <c r="M21" s="163"/>
      <c r="N21" s="94">
        <f t="shared" si="1"/>
        <v>554825.35785972222</v>
      </c>
      <c r="O21" s="103"/>
      <c r="P21" s="80">
        <f>P$76*'TABLE 4 - October 2016 Dataset'!F21</f>
        <v>406554.51999999996</v>
      </c>
      <c r="Q21" s="160"/>
      <c r="R21" s="161"/>
      <c r="S21" s="162">
        <f t="shared" si="3"/>
        <v>406554.51999999996</v>
      </c>
      <c r="T21" s="165">
        <f>T$76*'TABLE 4 - October 2016 Dataset'!I21</f>
        <v>3080</v>
      </c>
      <c r="U21" s="165">
        <f>U$76*'TABLE 4 - October 2016 Dataset'!J21</f>
        <v>4409.3793103448279</v>
      </c>
      <c r="V21" s="165">
        <f>V$76*'TABLE 4 - October 2016 Dataset'!K21</f>
        <v>0</v>
      </c>
      <c r="W21" s="165">
        <f>W$76*'TABLE 4 - October 2016 Dataset'!L21</f>
        <v>0</v>
      </c>
      <c r="X21" s="165">
        <f>X$76*'TABLE 4 - October 2016 Dataset'!M21</f>
        <v>0</v>
      </c>
      <c r="Y21" s="165">
        <f>Y$76*'TABLE 4 - October 2016 Dataset'!N21</f>
        <v>0</v>
      </c>
      <c r="Z21" s="165">
        <f>Z$76*'TABLE 4 - October 2016 Dataset'!O21</f>
        <v>0</v>
      </c>
      <c r="AA21" s="165">
        <f>AA$76*'TABLE 4 - October 2016 Dataset'!P21</f>
        <v>0</v>
      </c>
      <c r="AB21" s="162">
        <f t="shared" si="4"/>
        <v>7489.3793103448279</v>
      </c>
      <c r="AC21" s="140">
        <f>AC$76*'TABLE 4 - October 2016 Dataset'!Q21</f>
        <v>25218.175379575925</v>
      </c>
      <c r="AD21" s="140">
        <f>AD$76*'TABLE 4 - October 2016 Dataset'!R21</f>
        <v>573.082706766917</v>
      </c>
      <c r="AE21" s="140">
        <f>AE$76*'TABLE 4 - October 2016 Dataset'!S21</f>
        <v>0</v>
      </c>
      <c r="AF21" s="140">
        <f t="shared" si="5"/>
        <v>110000</v>
      </c>
      <c r="AG21" s="140">
        <f>IF('TABLE 4 - October 2016 Dataset'!X21="No",0,"*CHECK*")</f>
        <v>0</v>
      </c>
      <c r="AH21" s="140">
        <f>'TABLE 4 - October 2016 Dataset'!Y21</f>
        <v>15480</v>
      </c>
      <c r="AI21" s="170">
        <f>IF('TABLE 4 - October 2016 Dataset'!Z21&gt;0,('TABLE 4 - October 2016 Dataset'!Z21*(1+AI$79))-((AI$76*SUM('TABLE 4 - October 2016 Dataset'!F21:H21))+AI$77),0)</f>
        <v>0</v>
      </c>
      <c r="AJ21" s="166" t="str">
        <f>IF('TABLE 4 - October 2016 Dataset'!AA21="Yes",'TABLE 1 - 2018-19 Provisional'!AJ$76*SUM('TABLE 4 - October 2016 Dataset'!F21:H21),"")</f>
        <v/>
      </c>
      <c r="AK21" s="140">
        <f t="shared" si="6"/>
        <v>0</v>
      </c>
      <c r="AL21" s="94">
        <f t="shared" si="7"/>
        <v>565315.15739668766</v>
      </c>
      <c r="AM21" s="103"/>
      <c r="AN21" s="80">
        <f t="shared" si="8"/>
        <v>549835.15739668766</v>
      </c>
      <c r="AO21" s="165">
        <f>AN21/SUM('TABLE 4 - October 2016 Dataset'!F21:H21)</f>
        <v>3715.102414842484</v>
      </c>
      <c r="AP21" s="165">
        <f t="shared" si="2"/>
        <v>0</v>
      </c>
      <c r="AQ21" s="165">
        <f>AP21*SUM('TABLE 4 - October 2016 Dataset'!F21:H21)</f>
        <v>0</v>
      </c>
      <c r="AR21" s="94">
        <f t="shared" si="9"/>
        <v>565315.15739668766</v>
      </c>
      <c r="AS21" s="103"/>
      <c r="AT21" s="80">
        <f>N21-(AF21+AG21+'TABLE 4 - October 2016 Dataset'!Y21)</f>
        <v>429345.35785972222</v>
      </c>
      <c r="AU21" s="187">
        <f t="shared" si="10"/>
        <v>439835.15739668766</v>
      </c>
      <c r="AV21" s="165">
        <f t="shared" si="11"/>
        <v>2900.9821477008259</v>
      </c>
      <c r="AW21" s="165">
        <f>AU21/SUM('TABLE 4 - October 2016 Dataset'!F21:H21)</f>
        <v>2971.8591715992411</v>
      </c>
      <c r="AX21" s="173">
        <f t="shared" si="12"/>
        <v>2.443207861675023E-2</v>
      </c>
      <c r="AY21" s="173">
        <f t="shared" si="13"/>
        <v>0</v>
      </c>
      <c r="AZ21" s="175">
        <f t="shared" si="14"/>
        <v>0</v>
      </c>
      <c r="BA21" s="165">
        <f>AZ21*SUM('TABLE 4 - October 2016 Dataset'!F21:H21)</f>
        <v>0</v>
      </c>
      <c r="BB21" s="94">
        <f t="shared" si="15"/>
        <v>565315.15739668766</v>
      </c>
      <c r="BC21" s="103"/>
      <c r="BD21" s="184">
        <f>'TABLE 3 - Target Illustrative'!AR21-(AF21+AG21+AH21)</f>
        <v>439835.15739668766</v>
      </c>
      <c r="BE21" s="165">
        <f>BD21/SUM('TABLE 4 - October 2016 Dataset'!F21:H21)</f>
        <v>2971.8591715992411</v>
      </c>
      <c r="BF21" s="173">
        <f t="shared" si="16"/>
        <v>2.443207861675023E-2</v>
      </c>
      <c r="BG21" s="185">
        <f t="shared" si="17"/>
        <v>4.8864157233500464E-3</v>
      </c>
      <c r="BH21" s="185">
        <f t="shared" si="18"/>
        <v>2.443207861675023E-2</v>
      </c>
      <c r="BI21" s="173">
        <f t="shared" si="19"/>
        <v>0</v>
      </c>
      <c r="BJ21" s="175">
        <f t="shared" si="20"/>
        <v>0</v>
      </c>
      <c r="BK21" s="165">
        <f>BJ21*SUM('TABLE 4 - October 2016 Dataset'!F21:H21)</f>
        <v>0</v>
      </c>
      <c r="BL21" s="94">
        <f t="shared" si="21"/>
        <v>565315.15739668766</v>
      </c>
      <c r="BM21" s="103"/>
      <c r="BN21" s="179">
        <f t="shared" si="22"/>
        <v>549835.15739668766</v>
      </c>
      <c r="BO21" s="175">
        <f>BN21/SUM('TABLE 4 - October 2016 Dataset'!F21:H21)</f>
        <v>3715.102414842484</v>
      </c>
      <c r="BP21" s="175">
        <f t="shared" si="23"/>
        <v>0</v>
      </c>
      <c r="BQ21" s="175">
        <f>BP21*SUM('TABLE 4 - October 2016 Dataset'!F21:H21)</f>
        <v>0</v>
      </c>
      <c r="BR21" s="94">
        <f t="shared" si="24"/>
        <v>565315.15739668766</v>
      </c>
      <c r="BS21" s="103"/>
      <c r="BT21" s="80">
        <f t="shared" si="25"/>
        <v>554825.35785972222</v>
      </c>
      <c r="BU21" s="122">
        <f t="shared" si="26"/>
        <v>3748.8199855386638</v>
      </c>
      <c r="BV21" s="264">
        <f t="shared" si="27"/>
        <v>565315.15739668766</v>
      </c>
      <c r="BW21" s="81">
        <f>BV21/SUM('TABLE 4 - October 2016 Dataset'!F21:H21)</f>
        <v>3819.6970094370786</v>
      </c>
      <c r="BX21" s="264">
        <f t="shared" si="28"/>
        <v>10489.799536965438</v>
      </c>
      <c r="BY21" s="81">
        <f t="shared" si="29"/>
        <v>70.877023898414791</v>
      </c>
      <c r="BZ21" s="269">
        <f t="shared" si="30"/>
        <v>1.8906489021032723E-2</v>
      </c>
      <c r="CA21" s="103"/>
      <c r="CB21" s="80">
        <f>'TABLE 5 - DfE Published Figures'!J20</f>
        <v>562000</v>
      </c>
      <c r="CC21" s="84">
        <f t="shared" si="31"/>
        <v>3000</v>
      </c>
      <c r="CD21" s="81"/>
      <c r="CE21" s="81"/>
      <c r="CF21" s="81"/>
      <c r="CG21" s="81"/>
      <c r="CH21" s="2"/>
    </row>
    <row r="22" spans="2:86" ht="15.75">
      <c r="B22" s="198">
        <v>2008</v>
      </c>
      <c r="C22" s="60" t="s">
        <v>28</v>
      </c>
      <c r="D22" s="204"/>
      <c r="F22" s="80">
        <v>287</v>
      </c>
      <c r="G22" s="163"/>
      <c r="H22" s="164">
        <v>0</v>
      </c>
      <c r="I22" s="94">
        <f t="shared" si="0"/>
        <v>287</v>
      </c>
      <c r="J22" s="103"/>
      <c r="K22" s="80">
        <v>1000943.7304640468</v>
      </c>
      <c r="L22" s="163"/>
      <c r="M22" s="163"/>
      <c r="N22" s="94">
        <f t="shared" si="1"/>
        <v>1000943.7304640468</v>
      </c>
      <c r="O22" s="103"/>
      <c r="P22" s="80">
        <f>P$76*'TABLE 4 - October 2016 Dataset'!F22</f>
        <v>788386.12999999989</v>
      </c>
      <c r="Q22" s="160"/>
      <c r="R22" s="161"/>
      <c r="S22" s="162">
        <f t="shared" si="3"/>
        <v>788386.12999999989</v>
      </c>
      <c r="T22" s="165">
        <f>T$76*'TABLE 4 - October 2016 Dataset'!I22</f>
        <v>8800.0000000000018</v>
      </c>
      <c r="U22" s="165">
        <f>U$76*'TABLE 4 - October 2016 Dataset'!J22</f>
        <v>23885.806451612905</v>
      </c>
      <c r="V22" s="165">
        <f>V$76*'TABLE 4 - October 2016 Dataset'!K22</f>
        <v>0</v>
      </c>
      <c r="W22" s="165">
        <f>W$76*'TABLE 4 - October 2016 Dataset'!L22</f>
        <v>5166.0000000000045</v>
      </c>
      <c r="X22" s="165">
        <f>X$76*'TABLE 4 - October 2016 Dataset'!M22</f>
        <v>12392.250000000033</v>
      </c>
      <c r="Y22" s="165">
        <f>Y$76*'TABLE 4 - October 2016 Dataset'!N22</f>
        <v>1845.0000000000045</v>
      </c>
      <c r="Z22" s="165">
        <f>Z$76*'TABLE 4 - October 2016 Dataset'!O22</f>
        <v>2459.9999999999986</v>
      </c>
      <c r="AA22" s="165">
        <f>AA$76*'TABLE 4 - October 2016 Dataset'!P22</f>
        <v>2049.9999999999991</v>
      </c>
      <c r="AB22" s="162">
        <f t="shared" si="4"/>
        <v>56599.05645161296</v>
      </c>
      <c r="AC22" s="140">
        <f>AC$76*'TABLE 4 - October 2016 Dataset'!Q22</f>
        <v>76410.784570120974</v>
      </c>
      <c r="AD22" s="140">
        <f>AD$76*'TABLE 4 - October 2016 Dataset'!R22</f>
        <v>22924.85714285721</v>
      </c>
      <c r="AE22" s="140">
        <f>AE$76*'TABLE 4 - October 2016 Dataset'!S22</f>
        <v>0</v>
      </c>
      <c r="AF22" s="140">
        <f t="shared" si="5"/>
        <v>110000</v>
      </c>
      <c r="AG22" s="140">
        <f>IF('TABLE 4 - October 2016 Dataset'!X22="No",0,"*CHECK*")</f>
        <v>0</v>
      </c>
      <c r="AH22" s="140">
        <f>'TABLE 4 - October 2016 Dataset'!Y22</f>
        <v>13647.12</v>
      </c>
      <c r="AI22" s="170">
        <f>IF('TABLE 4 - October 2016 Dataset'!Z22&gt;0,('TABLE 4 - October 2016 Dataset'!Z22*(1+AI$79))-((AI$76*SUM('TABLE 4 - October 2016 Dataset'!F22:H22))+AI$77),0)</f>
        <v>0</v>
      </c>
      <c r="AJ22" s="166" t="str">
        <f>IF('TABLE 4 - October 2016 Dataset'!AA22="Yes",'TABLE 1 - 2018-19 Provisional'!AJ$76*SUM('TABLE 4 - October 2016 Dataset'!F22:H22),"")</f>
        <v/>
      </c>
      <c r="AK22" s="140">
        <f t="shared" si="6"/>
        <v>0</v>
      </c>
      <c r="AL22" s="94">
        <f t="shared" si="7"/>
        <v>1067967.9481645911</v>
      </c>
      <c r="AM22" s="103"/>
      <c r="AN22" s="80">
        <f t="shared" si="8"/>
        <v>1054320.828164591</v>
      </c>
      <c r="AO22" s="165">
        <f>AN22/SUM('TABLE 4 - October 2016 Dataset'!F22:H22)</f>
        <v>3673.5917357651256</v>
      </c>
      <c r="AP22" s="165">
        <f t="shared" si="2"/>
        <v>0</v>
      </c>
      <c r="AQ22" s="165">
        <f>AP22*SUM('TABLE 4 - October 2016 Dataset'!F22:H22)</f>
        <v>0</v>
      </c>
      <c r="AR22" s="94">
        <f t="shared" si="9"/>
        <v>1067967.9481645911</v>
      </c>
      <c r="AS22" s="103"/>
      <c r="AT22" s="80">
        <f>N22-(AF22+AG22+'TABLE 4 - October 2016 Dataset'!Y22)</f>
        <v>877296.61046404683</v>
      </c>
      <c r="AU22" s="187">
        <f t="shared" si="10"/>
        <v>944320.8281645911</v>
      </c>
      <c r="AV22" s="165">
        <f t="shared" si="11"/>
        <v>3056.7826148573058</v>
      </c>
      <c r="AW22" s="165">
        <f>AU22/SUM('TABLE 4 - October 2016 Dataset'!F22:H22)</f>
        <v>3290.3164744410842</v>
      </c>
      <c r="AX22" s="173">
        <f t="shared" si="12"/>
        <v>7.6398582761070921E-2</v>
      </c>
      <c r="AY22" s="173">
        <f t="shared" si="13"/>
        <v>0</v>
      </c>
      <c r="AZ22" s="175">
        <f t="shared" si="14"/>
        <v>0</v>
      </c>
      <c r="BA22" s="165">
        <f>AZ22*SUM('TABLE 4 - October 2016 Dataset'!F22:H22)</f>
        <v>0</v>
      </c>
      <c r="BB22" s="94">
        <f t="shared" si="15"/>
        <v>1067967.9481645911</v>
      </c>
      <c r="BC22" s="103"/>
      <c r="BD22" s="184">
        <f>'TABLE 3 - Target Illustrative'!AR22-(AF22+AG22+AH22)</f>
        <v>944320.8281645911</v>
      </c>
      <c r="BE22" s="165">
        <f>BD22/SUM('TABLE 4 - October 2016 Dataset'!F22:H22)</f>
        <v>3290.3164744410842</v>
      </c>
      <c r="BF22" s="173">
        <f t="shared" si="16"/>
        <v>7.6398582761070921E-2</v>
      </c>
      <c r="BG22" s="185">
        <f t="shared" si="17"/>
        <v>1.5279716552214185E-2</v>
      </c>
      <c r="BH22" s="185">
        <f t="shared" si="18"/>
        <v>0.03</v>
      </c>
      <c r="BI22" s="173">
        <f t="shared" si="19"/>
        <v>-4.6398582761070922E-2</v>
      </c>
      <c r="BJ22" s="175">
        <f t="shared" si="20"/>
        <v>-141.83038113805949</v>
      </c>
      <c r="BK22" s="165">
        <f>BJ22*SUM('TABLE 4 - October 2016 Dataset'!F22:H22)</f>
        <v>-40705.319386623072</v>
      </c>
      <c r="BL22" s="94">
        <f t="shared" si="21"/>
        <v>1027262.628777968</v>
      </c>
      <c r="BM22" s="103"/>
      <c r="BN22" s="179">
        <f t="shared" si="22"/>
        <v>1013615.508777968</v>
      </c>
      <c r="BO22" s="175">
        <f>BN22/SUM('TABLE 4 - October 2016 Dataset'!F22:H22)</f>
        <v>3531.7613546270663</v>
      </c>
      <c r="BP22" s="175">
        <f t="shared" si="23"/>
        <v>0</v>
      </c>
      <c r="BQ22" s="175">
        <f>BP22*SUM('TABLE 4 - October 2016 Dataset'!F22:H22)</f>
        <v>0</v>
      </c>
      <c r="BR22" s="94">
        <f t="shared" si="24"/>
        <v>1027262.628777968</v>
      </c>
      <c r="BS22" s="103"/>
      <c r="BT22" s="80">
        <f t="shared" si="25"/>
        <v>1000943.7304640468</v>
      </c>
      <c r="BU22" s="122">
        <f t="shared" si="26"/>
        <v>3487.6088169478985</v>
      </c>
      <c r="BV22" s="264">
        <f t="shared" si="27"/>
        <v>1027262.628777968</v>
      </c>
      <c r="BW22" s="81">
        <f>BV22/SUM('TABLE 4 - October 2016 Dataset'!F22:H22)</f>
        <v>3579.3122953936168</v>
      </c>
      <c r="BX22" s="264">
        <f t="shared" si="28"/>
        <v>26318.898313921178</v>
      </c>
      <c r="BY22" s="81">
        <f t="shared" si="29"/>
        <v>91.703478445718247</v>
      </c>
      <c r="BZ22" s="269">
        <f t="shared" si="30"/>
        <v>2.6294083786028061E-2</v>
      </c>
      <c r="CA22" s="103"/>
      <c r="CB22" s="80">
        <f>'TABLE 5 - DfE Published Figures'!J21</f>
        <v>1027000</v>
      </c>
      <c r="CC22" s="84">
        <f t="shared" si="31"/>
        <v>0</v>
      </c>
      <c r="CD22" s="81"/>
      <c r="CE22" s="81"/>
      <c r="CF22" s="81"/>
      <c r="CG22" s="81"/>
      <c r="CH22" s="2"/>
    </row>
    <row r="23" spans="2:86" ht="15.75">
      <c r="B23" s="198">
        <v>2009</v>
      </c>
      <c r="C23" s="60" t="s">
        <v>29</v>
      </c>
      <c r="D23" s="204" t="s">
        <v>72</v>
      </c>
      <c r="F23" s="80">
        <v>171</v>
      </c>
      <c r="G23" s="108">
        <v>10</v>
      </c>
      <c r="H23" s="164">
        <v>-2</v>
      </c>
      <c r="I23" s="94">
        <f t="shared" si="0"/>
        <v>179</v>
      </c>
      <c r="J23" s="103"/>
      <c r="K23" s="80">
        <v>786704.97816000006</v>
      </c>
      <c r="L23" s="108">
        <v>37425.864809999999</v>
      </c>
      <c r="M23" s="163"/>
      <c r="N23" s="94">
        <f t="shared" si="1"/>
        <v>824130.84297000011</v>
      </c>
      <c r="O23" s="103"/>
      <c r="P23" s="80">
        <f>P$76*'TABLE 4 - October 2016 Dataset'!F23</f>
        <v>491711.20999999996</v>
      </c>
      <c r="Q23" s="160"/>
      <c r="R23" s="161"/>
      <c r="S23" s="162">
        <f t="shared" si="3"/>
        <v>491711.20999999996</v>
      </c>
      <c r="T23" s="165">
        <f>T$76*'TABLE 4 - October 2016 Dataset'!I23</f>
        <v>20680.000000000033</v>
      </c>
      <c r="U23" s="165">
        <f>U$76*'TABLE 4 - October 2016 Dataset'!J23</f>
        <v>47528.9502762431</v>
      </c>
      <c r="V23" s="165">
        <f>V$76*'TABLE 4 - October 2016 Dataset'!K23</f>
        <v>0</v>
      </c>
      <c r="W23" s="165">
        <f>W$76*'TABLE 4 - October 2016 Dataset'!L23</f>
        <v>3007.2000000000003</v>
      </c>
      <c r="X23" s="165">
        <f>X$76*'TABLE 4 - October 2016 Dataset'!M23</f>
        <v>1196.7428571428541</v>
      </c>
      <c r="Y23" s="165">
        <f>Y$76*'TABLE 4 - October 2016 Dataset'!N23</f>
        <v>19516.114285714295</v>
      </c>
      <c r="Z23" s="165">
        <f>Z$76*'TABLE 4 - October 2016 Dataset'!O23</f>
        <v>0</v>
      </c>
      <c r="AA23" s="165">
        <f>AA$76*'TABLE 4 - October 2016 Dataset'!P23</f>
        <v>11251.42857142856</v>
      </c>
      <c r="AB23" s="162">
        <f t="shared" si="4"/>
        <v>103180.43599052886</v>
      </c>
      <c r="AC23" s="140">
        <f>AC$76*'TABLE 4 - October 2016 Dataset'!Q23</f>
        <v>90257.379442864301</v>
      </c>
      <c r="AD23" s="140">
        <f>AD$76*'TABLE 4 - October 2016 Dataset'!R23</f>
        <v>12835.886075949375</v>
      </c>
      <c r="AE23" s="140">
        <f>AE$76*'TABLE 4 - October 2016 Dataset'!S23</f>
        <v>0</v>
      </c>
      <c r="AF23" s="140">
        <f t="shared" si="5"/>
        <v>110000</v>
      </c>
      <c r="AG23" s="140">
        <f>IF('TABLE 4 - October 2016 Dataset'!X23="No",0,"*CHECK*")</f>
        <v>0</v>
      </c>
      <c r="AH23" s="140">
        <f>'TABLE 4 - October 2016 Dataset'!Y23</f>
        <v>4207.8599999999997</v>
      </c>
      <c r="AI23" s="170">
        <f>IF('TABLE 4 - October 2016 Dataset'!Z23&gt;0,('TABLE 4 - October 2016 Dataset'!Z23*(1+AI$79))-((AI$76*SUM('TABLE 4 - October 2016 Dataset'!F23:H23))+AI$77),0)</f>
        <v>0</v>
      </c>
      <c r="AJ23" s="166" t="str">
        <f>IF('TABLE 4 - October 2016 Dataset'!AA23="Yes",'TABLE 1 - 2018-19 Provisional'!AJ$76*SUM('TABLE 4 - October 2016 Dataset'!F23:H23),"")</f>
        <v/>
      </c>
      <c r="AK23" s="140">
        <f t="shared" si="6"/>
        <v>0</v>
      </c>
      <c r="AL23" s="94">
        <f t="shared" si="7"/>
        <v>812192.77150934259</v>
      </c>
      <c r="AM23" s="103"/>
      <c r="AN23" s="80">
        <f t="shared" si="8"/>
        <v>807984.91150934261</v>
      </c>
      <c r="AO23" s="165">
        <f>AN23/SUM('TABLE 4 - October 2016 Dataset'!F23:H23)</f>
        <v>4513.8821872030312</v>
      </c>
      <c r="AP23" s="165">
        <f t="shared" si="2"/>
        <v>0</v>
      </c>
      <c r="AQ23" s="165">
        <f>AP23*SUM('TABLE 4 - October 2016 Dataset'!F23:H23)</f>
        <v>0</v>
      </c>
      <c r="AR23" s="94">
        <f t="shared" si="9"/>
        <v>812192.77150934259</v>
      </c>
      <c r="AS23" s="103"/>
      <c r="AT23" s="80">
        <f>N23-(AF23+AG23+'TABLE 4 - October 2016 Dataset'!Y23)</f>
        <v>709922.98297000013</v>
      </c>
      <c r="AU23" s="187">
        <f t="shared" si="10"/>
        <v>697984.91150934261</v>
      </c>
      <c r="AV23" s="165">
        <f t="shared" si="11"/>
        <v>3966.050184189945</v>
      </c>
      <c r="AW23" s="165">
        <f>AU23/SUM('TABLE 4 - October 2016 Dataset'!F23:H23)</f>
        <v>3899.3570475382267</v>
      </c>
      <c r="AX23" s="173">
        <f t="shared" si="12"/>
        <v>-1.6816009267250354E-2</v>
      </c>
      <c r="AY23" s="173">
        <f t="shared" si="13"/>
        <v>2.1816009267250355E-2</v>
      </c>
      <c r="AZ23" s="175">
        <f t="shared" si="14"/>
        <v>86.523387572667815</v>
      </c>
      <c r="BA23" s="165">
        <f>AZ23*SUM('TABLE 4 - October 2016 Dataset'!F23:H23)</f>
        <v>15487.686375507539</v>
      </c>
      <c r="BB23" s="94">
        <f t="shared" si="15"/>
        <v>827680.4578848501</v>
      </c>
      <c r="BC23" s="103"/>
      <c r="BD23" s="184">
        <f>'TABLE 3 - Target Illustrative'!AR23-(AF23+AG23+AH23)</f>
        <v>697984.91150934261</v>
      </c>
      <c r="BE23" s="165">
        <f>BD23/SUM('TABLE 4 - October 2016 Dataset'!F23:H23)</f>
        <v>3899.3570475382267</v>
      </c>
      <c r="BF23" s="173">
        <f t="shared" si="16"/>
        <v>-1.6816009267250354E-2</v>
      </c>
      <c r="BG23" s="185" t="str">
        <f t="shared" si="17"/>
        <v xml:space="preserve">            NA</v>
      </c>
      <c r="BH23" s="185">
        <f t="shared" si="18"/>
        <v>5.0000000000000001E-3</v>
      </c>
      <c r="BI23" s="173">
        <f t="shared" si="19"/>
        <v>0</v>
      </c>
      <c r="BJ23" s="175">
        <f t="shared" si="20"/>
        <v>0</v>
      </c>
      <c r="BK23" s="165">
        <f>BJ23*SUM('TABLE 4 - October 2016 Dataset'!F23:H23)</f>
        <v>0</v>
      </c>
      <c r="BL23" s="94">
        <f t="shared" si="21"/>
        <v>827680.4578848501</v>
      </c>
      <c r="BM23" s="103"/>
      <c r="BN23" s="179">
        <f t="shared" si="22"/>
        <v>823472.59788485011</v>
      </c>
      <c r="BO23" s="175">
        <f>BN23/SUM('TABLE 4 - October 2016 Dataset'!F23:H23)</f>
        <v>4600.4055747756993</v>
      </c>
      <c r="BP23" s="175">
        <f t="shared" si="23"/>
        <v>0</v>
      </c>
      <c r="BQ23" s="175">
        <f>BP23*SUM('TABLE 4 - October 2016 Dataset'!F23:H23)</f>
        <v>0</v>
      </c>
      <c r="BR23" s="94">
        <f t="shared" si="24"/>
        <v>827680.4578848501</v>
      </c>
      <c r="BS23" s="103"/>
      <c r="BT23" s="80">
        <f t="shared" si="25"/>
        <v>824130.84297000011</v>
      </c>
      <c r="BU23" s="122">
        <f t="shared" si="26"/>
        <v>4604.0829216201128</v>
      </c>
      <c r="BV23" s="264">
        <f t="shared" si="27"/>
        <v>827680.4578848501</v>
      </c>
      <c r="BW23" s="81">
        <f>BV23/SUM('TABLE 4 - October 2016 Dataset'!F23:H23)</f>
        <v>4623.9131725410616</v>
      </c>
      <c r="BX23" s="264">
        <f t="shared" si="28"/>
        <v>3549.6149148499826</v>
      </c>
      <c r="BY23" s="81">
        <f t="shared" si="29"/>
        <v>19.830250920948856</v>
      </c>
      <c r="BZ23" s="269">
        <f t="shared" si="30"/>
        <v>4.3071011661907398E-3</v>
      </c>
      <c r="CA23" s="103"/>
      <c r="CB23" s="80">
        <f>'TABLE 5 - DfE Published Figures'!J22</f>
        <v>827000</v>
      </c>
      <c r="CC23" s="84">
        <f t="shared" si="31"/>
        <v>1000</v>
      </c>
      <c r="CD23" s="81"/>
      <c r="CE23" s="81"/>
      <c r="CF23" s="81"/>
      <c r="CG23" s="81"/>
      <c r="CH23" s="2"/>
    </row>
    <row r="24" spans="2:86" ht="15.75">
      <c r="B24" s="198">
        <v>2241</v>
      </c>
      <c r="C24" s="60" t="s">
        <v>30</v>
      </c>
      <c r="D24" s="204"/>
      <c r="F24" s="80">
        <v>302</v>
      </c>
      <c r="G24" s="163"/>
      <c r="H24" s="164">
        <v>-1</v>
      </c>
      <c r="I24" s="94">
        <f t="shared" si="0"/>
        <v>301</v>
      </c>
      <c r="J24" s="103"/>
      <c r="K24" s="80">
        <v>965319.87820364896</v>
      </c>
      <c r="L24" s="163"/>
      <c r="M24" s="163"/>
      <c r="N24" s="94">
        <f t="shared" si="1"/>
        <v>965319.87820364896</v>
      </c>
      <c r="O24" s="103"/>
      <c r="P24" s="80">
        <f>P$76*'TABLE 4 - October 2016 Dataset'!F24</f>
        <v>826843.99</v>
      </c>
      <c r="Q24" s="160"/>
      <c r="R24" s="161"/>
      <c r="S24" s="162">
        <f t="shared" si="3"/>
        <v>826843.99</v>
      </c>
      <c r="T24" s="165">
        <f>T$76*'TABLE 4 - October 2016 Dataset'!I24</f>
        <v>5280.0000000000009</v>
      </c>
      <c r="U24" s="165">
        <f>U$76*'TABLE 4 - October 2016 Dataset'!J24</f>
        <v>7501.1973055880599</v>
      </c>
      <c r="V24" s="165">
        <f>V$76*'TABLE 4 - October 2016 Dataset'!K24</f>
        <v>0</v>
      </c>
      <c r="W24" s="165">
        <f>W$76*'TABLE 4 - October 2016 Dataset'!L24</f>
        <v>0</v>
      </c>
      <c r="X24" s="165">
        <f>X$76*'TABLE 4 - October 2016 Dataset'!M24</f>
        <v>0</v>
      </c>
      <c r="Y24" s="165">
        <f>Y$76*'TABLE 4 - October 2016 Dataset'!N24</f>
        <v>0</v>
      </c>
      <c r="Z24" s="165">
        <f>Z$76*'TABLE 4 - October 2016 Dataset'!O24</f>
        <v>966.42140468227558</v>
      </c>
      <c r="AA24" s="165">
        <f>AA$76*'TABLE 4 - October 2016 Dataset'!P24</f>
        <v>0</v>
      </c>
      <c r="AB24" s="162">
        <f t="shared" si="4"/>
        <v>13747.618710270337</v>
      </c>
      <c r="AC24" s="140">
        <f>AC$76*'TABLE 4 - October 2016 Dataset'!Q24</f>
        <v>85743.131124230989</v>
      </c>
      <c r="AD24" s="140">
        <f>AD$76*'TABLE 4 - October 2016 Dataset'!R24</f>
        <v>4697.424242424242</v>
      </c>
      <c r="AE24" s="140">
        <f>AE$76*'TABLE 4 - October 2016 Dataset'!S24</f>
        <v>0</v>
      </c>
      <c r="AF24" s="140">
        <f t="shared" si="5"/>
        <v>110000</v>
      </c>
      <c r="AG24" s="140">
        <f>IF('TABLE 4 - October 2016 Dataset'!X24="No",0,"*CHECK*")</f>
        <v>0</v>
      </c>
      <c r="AH24" s="140">
        <f>'TABLE 4 - October 2016 Dataset'!Y24</f>
        <v>20328.53</v>
      </c>
      <c r="AI24" s="170">
        <f>IF('TABLE 4 - October 2016 Dataset'!Z24&gt;0,('TABLE 4 - October 2016 Dataset'!Z24*(1+AI$79))-((AI$76*SUM('TABLE 4 - October 2016 Dataset'!F24:H24))+AI$77),0)</f>
        <v>0</v>
      </c>
      <c r="AJ24" s="166" t="str">
        <f>IF('TABLE 4 - October 2016 Dataset'!AA24="Yes",'TABLE 1 - 2018-19 Provisional'!AJ$76*SUM('TABLE 4 - October 2016 Dataset'!F24:H24),"")</f>
        <v/>
      </c>
      <c r="AK24" s="140">
        <f t="shared" si="6"/>
        <v>0</v>
      </c>
      <c r="AL24" s="94">
        <f t="shared" si="7"/>
        <v>1061360.6940769255</v>
      </c>
      <c r="AM24" s="103"/>
      <c r="AN24" s="80">
        <f t="shared" si="8"/>
        <v>1041032.1640769255</v>
      </c>
      <c r="AO24" s="165">
        <f>AN24/SUM('TABLE 4 - October 2016 Dataset'!F24:H24)</f>
        <v>3458.5786181957656</v>
      </c>
      <c r="AP24" s="165">
        <f t="shared" si="2"/>
        <v>0</v>
      </c>
      <c r="AQ24" s="165">
        <f>AP24*SUM('TABLE 4 - October 2016 Dataset'!F24:H24)</f>
        <v>0</v>
      </c>
      <c r="AR24" s="94">
        <f t="shared" si="9"/>
        <v>1061360.6940769255</v>
      </c>
      <c r="AS24" s="103"/>
      <c r="AT24" s="80">
        <f>N24-(AF24+AG24+'TABLE 4 - October 2016 Dataset'!Y24)</f>
        <v>834991.34820364893</v>
      </c>
      <c r="AU24" s="187">
        <f t="shared" si="10"/>
        <v>931032.16407692549</v>
      </c>
      <c r="AV24" s="165">
        <f t="shared" si="11"/>
        <v>2774.0576352280696</v>
      </c>
      <c r="AW24" s="165">
        <f>AU24/SUM('TABLE 4 - October 2016 Dataset'!F24:H24)</f>
        <v>3093.1301132123772</v>
      </c>
      <c r="AX24" s="173">
        <f t="shared" si="12"/>
        <v>0.11502013293897373</v>
      </c>
      <c r="AY24" s="173">
        <f t="shared" si="13"/>
        <v>0</v>
      </c>
      <c r="AZ24" s="175">
        <f t="shared" si="14"/>
        <v>0</v>
      </c>
      <c r="BA24" s="165">
        <f>AZ24*SUM('TABLE 4 - October 2016 Dataset'!F24:H24)</f>
        <v>0</v>
      </c>
      <c r="BB24" s="94">
        <f t="shared" si="15"/>
        <v>1061360.6940769255</v>
      </c>
      <c r="BC24" s="103"/>
      <c r="BD24" s="184">
        <f>'TABLE 3 - Target Illustrative'!AR24-(AF24+AG24+AH24)</f>
        <v>943500</v>
      </c>
      <c r="BE24" s="165">
        <f>BD24/SUM('TABLE 4 - October 2016 Dataset'!F24:H24)</f>
        <v>3134.5514950166112</v>
      </c>
      <c r="BF24" s="173">
        <f t="shared" si="16"/>
        <v>0.12995182768035884</v>
      </c>
      <c r="BG24" s="185">
        <f t="shared" si="17"/>
        <v>2.5990365536071772E-2</v>
      </c>
      <c r="BH24" s="185">
        <f t="shared" si="18"/>
        <v>0.03</v>
      </c>
      <c r="BI24" s="173">
        <f t="shared" si="19"/>
        <v>-8.502013293897373E-2</v>
      </c>
      <c r="BJ24" s="175">
        <f t="shared" si="20"/>
        <v>-235.85074892746556</v>
      </c>
      <c r="BK24" s="165">
        <f>BJ24*SUM('TABLE 4 - October 2016 Dataset'!F24:H24)</f>
        <v>-70991.075427167132</v>
      </c>
      <c r="BL24" s="94">
        <f t="shared" si="21"/>
        <v>990369.6186497584</v>
      </c>
      <c r="BM24" s="103"/>
      <c r="BN24" s="179">
        <f t="shared" si="22"/>
        <v>970041.08864975837</v>
      </c>
      <c r="BO24" s="175">
        <f>BN24/SUM('TABLE 4 - October 2016 Dataset'!F24:H24)</f>
        <v>3222.7278692683003</v>
      </c>
      <c r="BP24" s="175">
        <f t="shared" si="23"/>
        <v>77.27213073169969</v>
      </c>
      <c r="BQ24" s="175">
        <f>BP24*SUM('TABLE 4 - October 2016 Dataset'!F24:H24)</f>
        <v>23258.911350241608</v>
      </c>
      <c r="BR24" s="94">
        <f t="shared" si="24"/>
        <v>1013628.53</v>
      </c>
      <c r="BS24" s="103"/>
      <c r="BT24" s="80">
        <f t="shared" si="25"/>
        <v>965319.87820364896</v>
      </c>
      <c r="BU24" s="122">
        <f t="shared" si="26"/>
        <v>3207.0427847297306</v>
      </c>
      <c r="BV24" s="264">
        <f t="shared" si="27"/>
        <v>1013628.53</v>
      </c>
      <c r="BW24" s="81">
        <f>BV24/SUM('TABLE 4 - October 2016 Dataset'!F24:H24)</f>
        <v>3367.5366445182726</v>
      </c>
      <c r="BX24" s="264">
        <f t="shared" si="28"/>
        <v>48308.651796351071</v>
      </c>
      <c r="BY24" s="81">
        <f t="shared" si="29"/>
        <v>160.49385978854207</v>
      </c>
      <c r="BZ24" s="269">
        <f t="shared" si="30"/>
        <v>5.0044190415148293E-2</v>
      </c>
      <c r="CA24" s="103"/>
      <c r="CB24" s="80">
        <f>'TABLE 5 - DfE Published Figures'!J23</f>
        <v>1014000</v>
      </c>
      <c r="CC24" s="84">
        <f t="shared" si="31"/>
        <v>0</v>
      </c>
      <c r="CD24" s="81"/>
      <c r="CE24" s="81"/>
      <c r="CF24" s="81"/>
      <c r="CG24" s="81"/>
      <c r="CH24" s="2"/>
    </row>
    <row r="25" spans="2:86" ht="15.75">
      <c r="B25" s="198">
        <v>2001</v>
      </c>
      <c r="C25" s="60" t="s">
        <v>31</v>
      </c>
      <c r="D25" s="204" t="s">
        <v>70</v>
      </c>
      <c r="F25" s="80">
        <v>426</v>
      </c>
      <c r="G25" s="163"/>
      <c r="H25" s="164">
        <v>0</v>
      </c>
      <c r="I25" s="94">
        <f t="shared" si="0"/>
        <v>426</v>
      </c>
      <c r="J25" s="103"/>
      <c r="K25" s="80">
        <v>1279867.1410463352</v>
      </c>
      <c r="L25" s="163"/>
      <c r="M25" s="163"/>
      <c r="N25" s="94">
        <f t="shared" si="1"/>
        <v>1279867.1410463352</v>
      </c>
      <c r="O25" s="103"/>
      <c r="P25" s="80">
        <f>P$76*'TABLE 4 - October 2016 Dataset'!F25</f>
        <v>1170217.74</v>
      </c>
      <c r="Q25" s="160"/>
      <c r="R25" s="161"/>
      <c r="S25" s="162">
        <f t="shared" si="3"/>
        <v>1170217.74</v>
      </c>
      <c r="T25" s="165">
        <f>T$76*'TABLE 4 - October 2016 Dataset'!I25</f>
        <v>4840.0000000000082</v>
      </c>
      <c r="U25" s="165">
        <f>U$76*'TABLE 4 - October 2016 Dataset'!J25</f>
        <v>7613.6170212765956</v>
      </c>
      <c r="V25" s="165">
        <f>V$76*'TABLE 4 - October 2016 Dataset'!K25</f>
        <v>0</v>
      </c>
      <c r="W25" s="165">
        <f>W$76*'TABLE 4 - October 2016 Dataset'!L25</f>
        <v>0</v>
      </c>
      <c r="X25" s="165">
        <f>X$76*'TABLE 4 - October 2016 Dataset'!M25</f>
        <v>390.91764705882383</v>
      </c>
      <c r="Y25" s="165">
        <f>Y$76*'TABLE 4 - October 2016 Dataset'!N25</f>
        <v>721.69411764705933</v>
      </c>
      <c r="Z25" s="165">
        <f>Z$76*'TABLE 4 - October 2016 Dataset'!O25</f>
        <v>0</v>
      </c>
      <c r="AA25" s="165">
        <f>AA$76*'TABLE 4 - October 2016 Dataset'!P25</f>
        <v>7617.8823529411802</v>
      </c>
      <c r="AB25" s="162">
        <f t="shared" si="4"/>
        <v>21184.111138923668</v>
      </c>
      <c r="AC25" s="140">
        <f>AC$76*'TABLE 4 - October 2016 Dataset'!Q25</f>
        <v>107646.80154038552</v>
      </c>
      <c r="AD25" s="140">
        <f>AD$76*'TABLE 4 - October 2016 Dataset'!R25</f>
        <v>1803.2054794520545</v>
      </c>
      <c r="AE25" s="140">
        <f>AE$76*'TABLE 4 - October 2016 Dataset'!S25</f>
        <v>0</v>
      </c>
      <c r="AF25" s="140">
        <f t="shared" si="5"/>
        <v>110000</v>
      </c>
      <c r="AG25" s="140">
        <f>IF('TABLE 4 - October 2016 Dataset'!X25="No",0,"*CHECK*")</f>
        <v>0</v>
      </c>
      <c r="AH25" s="140">
        <f>'TABLE 4 - October 2016 Dataset'!Y25</f>
        <v>3781.39</v>
      </c>
      <c r="AI25" s="170">
        <f>IF('TABLE 4 - October 2016 Dataset'!Z25&gt;0,('TABLE 4 - October 2016 Dataset'!Z25*(1+AI$79))-((AI$76*SUM('TABLE 4 - October 2016 Dataset'!F25:H25))+AI$77),0)</f>
        <v>0</v>
      </c>
      <c r="AJ25" s="166" t="str">
        <f>IF('TABLE 4 - October 2016 Dataset'!AA25="Yes",'TABLE 1 - 2018-19 Provisional'!AJ$76*SUM('TABLE 4 - October 2016 Dataset'!F25:H25),"")</f>
        <v/>
      </c>
      <c r="AK25" s="140">
        <f t="shared" si="6"/>
        <v>0</v>
      </c>
      <c r="AL25" s="94">
        <f t="shared" si="7"/>
        <v>1414633.2481587611</v>
      </c>
      <c r="AM25" s="103"/>
      <c r="AN25" s="80">
        <f t="shared" si="8"/>
        <v>1410851.8581587612</v>
      </c>
      <c r="AO25" s="165">
        <f>AN25/SUM('TABLE 4 - October 2016 Dataset'!F25:H25)</f>
        <v>3311.8588219689227</v>
      </c>
      <c r="AP25" s="165">
        <f t="shared" si="2"/>
        <v>0</v>
      </c>
      <c r="AQ25" s="165">
        <f>AP25*SUM('TABLE 4 - October 2016 Dataset'!F25:H25)</f>
        <v>0</v>
      </c>
      <c r="AR25" s="94">
        <f t="shared" si="9"/>
        <v>1414633.2481587611</v>
      </c>
      <c r="AS25" s="103"/>
      <c r="AT25" s="80">
        <f>N25-(AF25+AG25+'TABLE 4 - October 2016 Dataset'!Y25)</f>
        <v>1166085.7510463353</v>
      </c>
      <c r="AU25" s="187">
        <f t="shared" si="10"/>
        <v>1300851.8581587612</v>
      </c>
      <c r="AV25" s="165">
        <f t="shared" si="11"/>
        <v>2737.2904954139326</v>
      </c>
      <c r="AW25" s="165">
        <f>AU25/SUM('TABLE 4 - October 2016 Dataset'!F25:H25)</f>
        <v>3053.6428595276084</v>
      </c>
      <c r="AX25" s="173">
        <f t="shared" si="12"/>
        <v>0.1155713522710482</v>
      </c>
      <c r="AY25" s="173">
        <f t="shared" si="13"/>
        <v>0</v>
      </c>
      <c r="AZ25" s="175">
        <f t="shared" si="14"/>
        <v>0</v>
      </c>
      <c r="BA25" s="165">
        <f>AZ25*SUM('TABLE 4 - October 2016 Dataset'!F25:H25)</f>
        <v>0</v>
      </c>
      <c r="BB25" s="94">
        <f t="shared" si="15"/>
        <v>1414633.2481587611</v>
      </c>
      <c r="BC25" s="103"/>
      <c r="BD25" s="184">
        <f>'TABLE 3 - Target Illustrative'!AR25-(AF25+AG25+AH25)</f>
        <v>1381000</v>
      </c>
      <c r="BE25" s="165">
        <f>BD25/SUM('TABLE 4 - October 2016 Dataset'!F25:H25)</f>
        <v>3241.7840375586857</v>
      </c>
      <c r="BF25" s="173">
        <f t="shared" si="16"/>
        <v>0.18430398344274512</v>
      </c>
      <c r="BG25" s="185">
        <f t="shared" si="17"/>
        <v>3.6860796688549025E-2</v>
      </c>
      <c r="BH25" s="185">
        <f t="shared" si="18"/>
        <v>3.6860796688549025E-2</v>
      </c>
      <c r="BI25" s="173">
        <f t="shared" si="19"/>
        <v>-7.8710555582499175E-2</v>
      </c>
      <c r="BJ25" s="175">
        <f t="shared" si="20"/>
        <v>-215.45365568472505</v>
      </c>
      <c r="BK25" s="165">
        <f>BJ25*SUM('TABLE 4 - October 2016 Dataset'!F25:H25)</f>
        <v>-91783.257321692872</v>
      </c>
      <c r="BL25" s="94">
        <f t="shared" si="21"/>
        <v>1322849.9908370683</v>
      </c>
      <c r="BM25" s="103"/>
      <c r="BN25" s="179">
        <f t="shared" si="22"/>
        <v>1319068.6008370684</v>
      </c>
      <c r="BO25" s="175">
        <f>BN25/SUM('TABLE 4 - October 2016 Dataset'!F25:H25)</f>
        <v>3096.405166284198</v>
      </c>
      <c r="BP25" s="175">
        <f t="shared" si="23"/>
        <v>203.594833715802</v>
      </c>
      <c r="BQ25" s="175">
        <f>BP25*SUM('TABLE 4 - October 2016 Dataset'!F25:H25)</f>
        <v>86731.399162931644</v>
      </c>
      <c r="BR25" s="94">
        <f t="shared" si="24"/>
        <v>1409581.39</v>
      </c>
      <c r="BS25" s="103"/>
      <c r="BT25" s="80">
        <f t="shared" si="25"/>
        <v>1279867.1410463352</v>
      </c>
      <c r="BU25" s="122">
        <f t="shared" si="26"/>
        <v>3004.3829602026649</v>
      </c>
      <c r="BV25" s="264">
        <f t="shared" si="27"/>
        <v>1409581.39</v>
      </c>
      <c r="BW25" s="81">
        <f>BV25/SUM('TABLE 4 - October 2016 Dataset'!F25:H25)</f>
        <v>3308.8765023474175</v>
      </c>
      <c r="BX25" s="264">
        <f t="shared" si="28"/>
        <v>129714.24895366468</v>
      </c>
      <c r="BY25" s="81">
        <f t="shared" si="29"/>
        <v>304.49354214475261</v>
      </c>
      <c r="BZ25" s="269">
        <f t="shared" si="30"/>
        <v>0.10134977670230581</v>
      </c>
      <c r="CA25" s="103"/>
      <c r="CB25" s="80">
        <f>'TABLE 5 - DfE Published Figures'!J24</f>
        <v>1406000</v>
      </c>
      <c r="CC25" s="84">
        <f t="shared" si="31"/>
        <v>4000</v>
      </c>
      <c r="CD25" s="81"/>
      <c r="CE25" s="81"/>
      <c r="CF25" s="81"/>
      <c r="CG25" s="81"/>
      <c r="CH25" s="2"/>
    </row>
    <row r="26" spans="2:86" ht="15.75">
      <c r="B26" s="198">
        <v>3302</v>
      </c>
      <c r="C26" s="60" t="s">
        <v>32</v>
      </c>
      <c r="D26" s="204" t="s">
        <v>70</v>
      </c>
      <c r="F26" s="80">
        <v>144</v>
      </c>
      <c r="G26" s="163"/>
      <c r="H26" s="164">
        <v>0</v>
      </c>
      <c r="I26" s="94">
        <f t="shared" si="0"/>
        <v>144</v>
      </c>
      <c r="J26" s="103"/>
      <c r="K26" s="80">
        <v>540244.6335168042</v>
      </c>
      <c r="L26" s="163"/>
      <c r="M26" s="163"/>
      <c r="N26" s="94">
        <f t="shared" si="1"/>
        <v>540244.6335168042</v>
      </c>
      <c r="O26" s="103"/>
      <c r="P26" s="80">
        <f>P$76*'TABLE 4 - October 2016 Dataset'!F26</f>
        <v>395566.55999999994</v>
      </c>
      <c r="Q26" s="160"/>
      <c r="R26" s="161"/>
      <c r="S26" s="162">
        <f t="shared" si="3"/>
        <v>395566.55999999994</v>
      </c>
      <c r="T26" s="165">
        <f>T$76*'TABLE 4 - October 2016 Dataset'!I26</f>
        <v>3960</v>
      </c>
      <c r="U26" s="165">
        <f>U$76*'TABLE 4 - October 2016 Dataset'!J26</f>
        <v>11581.276595744681</v>
      </c>
      <c r="V26" s="165">
        <f>V$76*'TABLE 4 - October 2016 Dataset'!K26</f>
        <v>0</v>
      </c>
      <c r="W26" s="165">
        <f>W$76*'TABLE 4 - October 2016 Dataset'!L26</f>
        <v>1268.81118881119</v>
      </c>
      <c r="X26" s="165">
        <f>X$76*'TABLE 4 - October 2016 Dataset'!M26</f>
        <v>0</v>
      </c>
      <c r="Y26" s="165">
        <f>Y$76*'TABLE 4 - October 2016 Dataset'!N26</f>
        <v>2175.1048951048974</v>
      </c>
      <c r="Z26" s="165">
        <f>Z$76*'TABLE 4 - October 2016 Dataset'!O26</f>
        <v>0</v>
      </c>
      <c r="AA26" s="165">
        <f>AA$76*'TABLE 4 - October 2016 Dataset'!P26</f>
        <v>9465.7342657342761</v>
      </c>
      <c r="AB26" s="162">
        <f t="shared" si="4"/>
        <v>28450.926945395047</v>
      </c>
      <c r="AC26" s="140">
        <f>AC$76*'TABLE 4 - October 2016 Dataset'!Q26</f>
        <v>33063.557685430256</v>
      </c>
      <c r="AD26" s="140">
        <f>AD$76*'TABLE 4 - October 2016 Dataset'!R26</f>
        <v>598.06451612903243</v>
      </c>
      <c r="AE26" s="140">
        <f>AE$76*'TABLE 4 - October 2016 Dataset'!S26</f>
        <v>0</v>
      </c>
      <c r="AF26" s="140">
        <f t="shared" si="5"/>
        <v>110000</v>
      </c>
      <c r="AG26" s="140">
        <f>IF('TABLE 4 - October 2016 Dataset'!X26="No",0,"*CHECK*")</f>
        <v>0</v>
      </c>
      <c r="AH26" s="140">
        <f>'TABLE 4 - October 2016 Dataset'!Y26</f>
        <v>1409.56</v>
      </c>
      <c r="AI26" s="170">
        <f>IF('TABLE 4 - October 2016 Dataset'!Z26&gt;0,('TABLE 4 - October 2016 Dataset'!Z26*(1+AI$79))-((AI$76*SUM('TABLE 4 - October 2016 Dataset'!F26:H26))+AI$77),0)</f>
        <v>0</v>
      </c>
      <c r="AJ26" s="166" t="str">
        <f>IF('TABLE 4 - October 2016 Dataset'!AA26="Yes",'TABLE 1 - 2018-19 Provisional'!AJ$76*SUM('TABLE 4 - October 2016 Dataset'!F26:H26),"")</f>
        <v/>
      </c>
      <c r="AK26" s="140">
        <f t="shared" si="6"/>
        <v>0</v>
      </c>
      <c r="AL26" s="94">
        <f t="shared" si="7"/>
        <v>569088.66914695431</v>
      </c>
      <c r="AM26" s="103"/>
      <c r="AN26" s="80">
        <f t="shared" si="8"/>
        <v>567679.10914695426</v>
      </c>
      <c r="AO26" s="165">
        <f>AN26/SUM('TABLE 4 - October 2016 Dataset'!F26:H26)</f>
        <v>3942.2160357427379</v>
      </c>
      <c r="AP26" s="165">
        <f t="shared" si="2"/>
        <v>0</v>
      </c>
      <c r="AQ26" s="165">
        <f>AP26*SUM('TABLE 4 - October 2016 Dataset'!F26:H26)</f>
        <v>0</v>
      </c>
      <c r="AR26" s="94">
        <f t="shared" si="9"/>
        <v>569088.66914695431</v>
      </c>
      <c r="AS26" s="103"/>
      <c r="AT26" s="80">
        <f>N26-(AF26+AG26+'TABLE 4 - October 2016 Dataset'!Y26)</f>
        <v>428835.0735168042</v>
      </c>
      <c r="AU26" s="187">
        <f t="shared" si="10"/>
        <v>457679.10914695432</v>
      </c>
      <c r="AV26" s="165">
        <f t="shared" si="11"/>
        <v>2978.021343866696</v>
      </c>
      <c r="AW26" s="165">
        <f>AU26/SUM('TABLE 4 - October 2016 Dataset'!F26:H26)</f>
        <v>3178.3271468538496</v>
      </c>
      <c r="AX26" s="173">
        <f t="shared" si="12"/>
        <v>6.7261372521620011E-2</v>
      </c>
      <c r="AY26" s="173">
        <f t="shared" si="13"/>
        <v>0</v>
      </c>
      <c r="AZ26" s="175">
        <f t="shared" si="14"/>
        <v>0</v>
      </c>
      <c r="BA26" s="165">
        <f>AZ26*SUM('TABLE 4 - October 2016 Dataset'!F26:H26)</f>
        <v>0</v>
      </c>
      <c r="BB26" s="94">
        <f t="shared" si="15"/>
        <v>569088.66914695431</v>
      </c>
      <c r="BC26" s="103"/>
      <c r="BD26" s="184">
        <f>'TABLE 3 - Target Illustrative'!AR26-(AF26+AG26+AH26)</f>
        <v>457679.10914695432</v>
      </c>
      <c r="BE26" s="165">
        <f>BD26/SUM('TABLE 4 - October 2016 Dataset'!F26:H26)</f>
        <v>3178.3271468538496</v>
      </c>
      <c r="BF26" s="173">
        <f t="shared" si="16"/>
        <v>6.7261372521620011E-2</v>
      </c>
      <c r="BG26" s="185">
        <f t="shared" si="17"/>
        <v>1.3452274504324003E-2</v>
      </c>
      <c r="BH26" s="185">
        <f t="shared" si="18"/>
        <v>0.03</v>
      </c>
      <c r="BI26" s="173">
        <f t="shared" si="19"/>
        <v>-3.7261372521620012E-2</v>
      </c>
      <c r="BJ26" s="175">
        <f t="shared" si="20"/>
        <v>-110.96516267115241</v>
      </c>
      <c r="BK26" s="165">
        <f>BJ26*SUM('TABLE 4 - October 2016 Dataset'!F26:H26)</f>
        <v>-15978.983424645947</v>
      </c>
      <c r="BL26" s="94">
        <f t="shared" si="21"/>
        <v>553109.68572230835</v>
      </c>
      <c r="BM26" s="103"/>
      <c r="BN26" s="179">
        <f t="shared" si="22"/>
        <v>551700.12572230829</v>
      </c>
      <c r="BO26" s="175">
        <f>BN26/SUM('TABLE 4 - October 2016 Dataset'!F26:H26)</f>
        <v>3831.2508730715854</v>
      </c>
      <c r="BP26" s="175">
        <f t="shared" si="23"/>
        <v>0</v>
      </c>
      <c r="BQ26" s="175">
        <f>BP26*SUM('TABLE 4 - October 2016 Dataset'!F26:H26)</f>
        <v>0</v>
      </c>
      <c r="BR26" s="94">
        <f t="shared" si="24"/>
        <v>553109.68572230835</v>
      </c>
      <c r="BS26" s="103"/>
      <c r="BT26" s="80">
        <f t="shared" si="25"/>
        <v>540244.6335168042</v>
      </c>
      <c r="BU26" s="122">
        <f t="shared" si="26"/>
        <v>3751.6988438666958</v>
      </c>
      <c r="BV26" s="264">
        <f t="shared" si="27"/>
        <v>553109.68572230835</v>
      </c>
      <c r="BW26" s="81">
        <f>BV26/SUM('TABLE 4 - October 2016 Dataset'!F26:H26)</f>
        <v>3841.0394841826969</v>
      </c>
      <c r="BX26" s="264">
        <f t="shared" si="28"/>
        <v>12865.052205504151</v>
      </c>
      <c r="BY26" s="81">
        <f t="shared" si="29"/>
        <v>89.3406403160011</v>
      </c>
      <c r="BZ26" s="269">
        <f t="shared" si="30"/>
        <v>2.3813382692498313E-2</v>
      </c>
      <c r="CA26" s="103"/>
      <c r="CB26" s="80">
        <f>'TABLE 5 - DfE Published Figures'!J25</f>
        <v>552000</v>
      </c>
      <c r="CC26" s="84">
        <f t="shared" si="31"/>
        <v>1000</v>
      </c>
      <c r="CD26" s="81"/>
      <c r="CE26" s="81"/>
      <c r="CF26" s="81"/>
      <c r="CG26" s="81"/>
      <c r="CH26" s="2"/>
    </row>
    <row r="27" spans="2:86" ht="15.75">
      <c r="B27" s="198">
        <v>2028</v>
      </c>
      <c r="C27" s="60" t="s">
        <v>33</v>
      </c>
      <c r="D27" s="204"/>
      <c r="F27" s="80">
        <v>280</v>
      </c>
      <c r="G27" s="163"/>
      <c r="H27" s="164">
        <v>0</v>
      </c>
      <c r="I27" s="94">
        <f t="shared" si="0"/>
        <v>280</v>
      </c>
      <c r="J27" s="103"/>
      <c r="K27" s="80">
        <v>1284243.1281264999</v>
      </c>
      <c r="L27" s="163"/>
      <c r="M27" s="108">
        <v>3744.9700000000298</v>
      </c>
      <c r="N27" s="94">
        <f t="shared" si="1"/>
        <v>1287988.0981264999</v>
      </c>
      <c r="O27" s="103"/>
      <c r="P27" s="80">
        <f>P$76*'TABLE 4 - October 2016 Dataset'!F27</f>
        <v>769157.2</v>
      </c>
      <c r="Q27" s="160"/>
      <c r="R27" s="161"/>
      <c r="S27" s="162">
        <f t="shared" si="3"/>
        <v>769157.2</v>
      </c>
      <c r="T27" s="165">
        <f>T$76*'TABLE 4 - October 2016 Dataset'!I27</f>
        <v>26840.000000000018</v>
      </c>
      <c r="U27" s="165">
        <f>U$76*'TABLE 4 - October 2016 Dataset'!J27</f>
        <v>61356.52173913044</v>
      </c>
      <c r="V27" s="165">
        <f>V$76*'TABLE 4 - October 2016 Dataset'!K27</f>
        <v>0</v>
      </c>
      <c r="W27" s="165">
        <f>W$76*'TABLE 4 - October 2016 Dataset'!L27</f>
        <v>0</v>
      </c>
      <c r="X27" s="165">
        <f>X$76*'TABLE 4 - October 2016 Dataset'!M27</f>
        <v>14141.007194244621</v>
      </c>
      <c r="Y27" s="165">
        <f>Y$76*'TABLE 4 - October 2016 Dataset'!N27</f>
        <v>24656.115107913709</v>
      </c>
      <c r="Z27" s="165">
        <f>Z$76*'TABLE 4 - October 2016 Dataset'!O27</f>
        <v>241.72661870503575</v>
      </c>
      <c r="AA27" s="165">
        <f>AA$76*'TABLE 4 - October 2016 Dataset'!P27</f>
        <v>20143.884892086309</v>
      </c>
      <c r="AB27" s="162">
        <f t="shared" si="4"/>
        <v>147379.25555208014</v>
      </c>
      <c r="AC27" s="140">
        <f>AC$76*'TABLE 4 - October 2016 Dataset'!Q27</f>
        <v>105600.02599484436</v>
      </c>
      <c r="AD27" s="140">
        <f>AD$76*'TABLE 4 - October 2016 Dataset'!R27</f>
        <v>6162.3931623931576</v>
      </c>
      <c r="AE27" s="140">
        <f>AE$76*'TABLE 4 - October 2016 Dataset'!S27</f>
        <v>0</v>
      </c>
      <c r="AF27" s="140">
        <f t="shared" si="5"/>
        <v>110000</v>
      </c>
      <c r="AG27" s="140">
        <f>IF('TABLE 4 - October 2016 Dataset'!X27="No",0,"*CHECK*")</f>
        <v>0</v>
      </c>
      <c r="AH27" s="140">
        <f>'TABLE 4 - October 2016 Dataset'!Y27</f>
        <v>39020.410000000003</v>
      </c>
      <c r="AI27" s="171">
        <f>IF('TABLE 4 - October 2016 Dataset'!Z27&gt;0,('TABLE 4 - October 2016 Dataset'!Z27*(1+AI$79))-((AI$76*SUM('TABLE 4 - October 2016 Dataset'!F27:H27))+AI$77),0)</f>
        <v>179188.2</v>
      </c>
      <c r="AJ27" s="166" t="str">
        <f>IF('TABLE 4 - October 2016 Dataset'!AA27="Yes",'TABLE 1 - 2018-19 Provisional'!AJ$76*SUM('TABLE 4 - October 2016 Dataset'!F27:H27),"")</f>
        <v/>
      </c>
      <c r="AK27" s="140">
        <f t="shared" si="6"/>
        <v>0</v>
      </c>
      <c r="AL27" s="94">
        <f t="shared" si="7"/>
        <v>1356507.4847093173</v>
      </c>
      <c r="AM27" s="103"/>
      <c r="AN27" s="80">
        <f t="shared" si="8"/>
        <v>1138298.8747093172</v>
      </c>
      <c r="AO27" s="165">
        <f>AN27/SUM('TABLE 4 - October 2016 Dataset'!F27:H27)</f>
        <v>4065.3531239618474</v>
      </c>
      <c r="AP27" s="165">
        <f t="shared" si="2"/>
        <v>0</v>
      </c>
      <c r="AQ27" s="165">
        <f>AP27*SUM('TABLE 4 - October 2016 Dataset'!F27:H27)</f>
        <v>0</v>
      </c>
      <c r="AR27" s="94">
        <f t="shared" si="9"/>
        <v>1356507.4847093173</v>
      </c>
      <c r="AS27" s="103"/>
      <c r="AT27" s="80">
        <f>N27-(AF27+AG27+'TABLE 4 - October 2016 Dataset'!Y27)</f>
        <v>1138967.6881265</v>
      </c>
      <c r="AU27" s="187">
        <f t="shared" si="10"/>
        <v>1207487.0747093174</v>
      </c>
      <c r="AV27" s="165">
        <f t="shared" si="11"/>
        <v>4067.7417433089286</v>
      </c>
      <c r="AW27" s="165">
        <f>AU27/SUM('TABLE 4 - October 2016 Dataset'!F27:H27)</f>
        <v>4312.4538382475621</v>
      </c>
      <c r="AX27" s="173">
        <f t="shared" si="12"/>
        <v>6.015920143926623E-2</v>
      </c>
      <c r="AY27" s="173">
        <f t="shared" si="13"/>
        <v>0</v>
      </c>
      <c r="AZ27" s="175">
        <f t="shared" si="14"/>
        <v>0</v>
      </c>
      <c r="BA27" s="165">
        <f>AZ27*SUM('TABLE 4 - October 2016 Dataset'!F27:H27)</f>
        <v>0</v>
      </c>
      <c r="BB27" s="94">
        <f t="shared" si="15"/>
        <v>1356507.4847093173</v>
      </c>
      <c r="BC27" s="103"/>
      <c r="BD27" s="184">
        <f>'TABLE 3 - Target Illustrative'!AR27-(AF27+AG27+AH27)</f>
        <v>1216030.3787093174</v>
      </c>
      <c r="BE27" s="165">
        <f>BD27/SUM('TABLE 4 - October 2016 Dataset'!F27:H27)</f>
        <v>4342.9656382475623</v>
      </c>
      <c r="BF27" s="173">
        <f t="shared" si="16"/>
        <v>6.766012011243161E-2</v>
      </c>
      <c r="BG27" s="185">
        <f t="shared" si="17"/>
        <v>1.3532024022486322E-2</v>
      </c>
      <c r="BH27" s="185">
        <f t="shared" si="18"/>
        <v>0.03</v>
      </c>
      <c r="BI27" s="173">
        <f t="shared" si="19"/>
        <v>-3.0159201439266231E-2</v>
      </c>
      <c r="BJ27" s="175">
        <f t="shared" si="20"/>
        <v>-122.67984263936597</v>
      </c>
      <c r="BK27" s="165">
        <f>BJ27*SUM('TABLE 4 - October 2016 Dataset'!F27:H27)</f>
        <v>-34350.355939022469</v>
      </c>
      <c r="BL27" s="94">
        <f t="shared" si="21"/>
        <v>1322157.1287702948</v>
      </c>
      <c r="BM27" s="103"/>
      <c r="BN27" s="179">
        <f t="shared" si="22"/>
        <v>1103948.5187702947</v>
      </c>
      <c r="BO27" s="175">
        <f>BN27/SUM('TABLE 4 - October 2016 Dataset'!F27:H27)</f>
        <v>3942.6732813224812</v>
      </c>
      <c r="BP27" s="175">
        <f t="shared" si="23"/>
        <v>0</v>
      </c>
      <c r="BQ27" s="175">
        <f>BP27*SUM('TABLE 4 - October 2016 Dataset'!F27:H27)</f>
        <v>0</v>
      </c>
      <c r="BR27" s="94">
        <f t="shared" si="24"/>
        <v>1322157.1287702948</v>
      </c>
      <c r="BS27" s="103"/>
      <c r="BT27" s="80">
        <f t="shared" si="25"/>
        <v>1287988.0981264999</v>
      </c>
      <c r="BU27" s="122">
        <f t="shared" si="26"/>
        <v>4599.957493308928</v>
      </c>
      <c r="BV27" s="264">
        <f t="shared" si="27"/>
        <v>1322157.1287702948</v>
      </c>
      <c r="BW27" s="81">
        <f>BV27/SUM('TABLE 4 - October 2016 Dataset'!F27:H27)</f>
        <v>4721.9897456081962</v>
      </c>
      <c r="BX27" s="264">
        <f t="shared" si="28"/>
        <v>34169.030643794918</v>
      </c>
      <c r="BY27" s="81">
        <f t="shared" si="29"/>
        <v>122.03225229926829</v>
      </c>
      <c r="BZ27" s="269">
        <f t="shared" si="30"/>
        <v>2.6528995643280557E-2</v>
      </c>
      <c r="CA27" s="103"/>
      <c r="CB27" s="80">
        <f>'TABLE 5 - DfE Published Figures'!J26</f>
        <v>1324000</v>
      </c>
      <c r="CC27" s="84">
        <f t="shared" si="31"/>
        <v>-2000</v>
      </c>
      <c r="CD27" s="81"/>
      <c r="CE27" s="81"/>
      <c r="CF27" s="81"/>
      <c r="CG27" s="81"/>
      <c r="CH27" s="2"/>
    </row>
    <row r="28" spans="2:86" ht="15.75">
      <c r="B28" s="198">
        <v>2180</v>
      </c>
      <c r="C28" s="60" t="s">
        <v>34</v>
      </c>
      <c r="D28" s="204" t="s">
        <v>74</v>
      </c>
      <c r="F28" s="80">
        <v>418</v>
      </c>
      <c r="G28" s="163"/>
      <c r="H28" s="164">
        <v>0</v>
      </c>
      <c r="I28" s="94">
        <f t="shared" si="0"/>
        <v>418</v>
      </c>
      <c r="J28" s="103"/>
      <c r="K28" s="80">
        <v>1285823.311554234</v>
      </c>
      <c r="L28" s="163"/>
      <c r="M28" s="163"/>
      <c r="N28" s="94">
        <f t="shared" si="1"/>
        <v>1285823.311554234</v>
      </c>
      <c r="O28" s="103"/>
      <c r="P28" s="80">
        <f>P$76*'TABLE 4 - October 2016 Dataset'!F28</f>
        <v>1148241.8199999998</v>
      </c>
      <c r="Q28" s="160"/>
      <c r="R28" s="161"/>
      <c r="S28" s="162">
        <f t="shared" si="3"/>
        <v>1148241.8199999998</v>
      </c>
      <c r="T28" s="165">
        <f>T$76*'TABLE 4 - October 2016 Dataset'!I28</f>
        <v>7920</v>
      </c>
      <c r="U28" s="165">
        <f>U$76*'TABLE 4 - October 2016 Dataset'!J28</f>
        <v>20818.834951456309</v>
      </c>
      <c r="V28" s="165">
        <f>V$76*'TABLE 4 - October 2016 Dataset'!K28</f>
        <v>0</v>
      </c>
      <c r="W28" s="165">
        <f>W$76*'TABLE 4 - October 2016 Dataset'!L28</f>
        <v>844.03846153846189</v>
      </c>
      <c r="X28" s="165">
        <f>X$76*'TABLE 4 - October 2016 Dataset'!M28</f>
        <v>783.75000000000034</v>
      </c>
      <c r="Y28" s="165">
        <f>Y$76*'TABLE 4 - October 2016 Dataset'!N28</f>
        <v>3979.0384615384628</v>
      </c>
      <c r="Z28" s="165">
        <f>Z$76*'TABLE 4 - October 2016 Dataset'!O28</f>
        <v>2652.6923076923085</v>
      </c>
      <c r="AA28" s="165">
        <f>AA$76*'TABLE 4 - October 2016 Dataset'!P28</f>
        <v>3215.384615384618</v>
      </c>
      <c r="AB28" s="162">
        <f t="shared" si="4"/>
        <v>40213.738797610153</v>
      </c>
      <c r="AC28" s="140">
        <f>AC$76*'TABLE 4 - October 2016 Dataset'!Q28</f>
        <v>122556.54086446505</v>
      </c>
      <c r="AD28" s="140">
        <f>AD$76*'TABLE 4 - October 2016 Dataset'!R28</f>
        <v>8895.4545454545496</v>
      </c>
      <c r="AE28" s="140">
        <f>AE$76*'TABLE 4 - October 2016 Dataset'!S28</f>
        <v>0</v>
      </c>
      <c r="AF28" s="140">
        <f t="shared" si="5"/>
        <v>110000</v>
      </c>
      <c r="AG28" s="140">
        <f>IF('TABLE 4 - October 2016 Dataset'!X28="No",0,"*CHECK*")</f>
        <v>0</v>
      </c>
      <c r="AH28" s="140">
        <f>'TABLE 4 - October 2016 Dataset'!Y28</f>
        <v>4176</v>
      </c>
      <c r="AI28" s="170">
        <f>IF('TABLE 4 - October 2016 Dataset'!Z28&gt;0,('TABLE 4 - October 2016 Dataset'!Z28*(1+AI$79))-((AI$76*SUM('TABLE 4 - October 2016 Dataset'!F28:H28))+AI$77),0)</f>
        <v>0</v>
      </c>
      <c r="AJ28" s="166" t="str">
        <f>IF('TABLE 4 - October 2016 Dataset'!AA28="Yes",'TABLE 1 - 2018-19 Provisional'!AJ$76*SUM('TABLE 4 - October 2016 Dataset'!F28:H28),"")</f>
        <v/>
      </c>
      <c r="AK28" s="140">
        <f t="shared" si="6"/>
        <v>0</v>
      </c>
      <c r="AL28" s="94">
        <f t="shared" si="7"/>
        <v>1434083.5542075296</v>
      </c>
      <c r="AM28" s="103"/>
      <c r="AN28" s="80">
        <f t="shared" si="8"/>
        <v>1429907.5542075296</v>
      </c>
      <c r="AO28" s="165">
        <f>AN28/SUM('TABLE 4 - October 2016 Dataset'!F28:H28)</f>
        <v>3420.8314693960037</v>
      </c>
      <c r="AP28" s="165">
        <f t="shared" si="2"/>
        <v>0</v>
      </c>
      <c r="AQ28" s="165">
        <f>AP28*SUM('TABLE 4 - October 2016 Dataset'!F28:H28)</f>
        <v>0</v>
      </c>
      <c r="AR28" s="94">
        <f t="shared" si="9"/>
        <v>1434083.5542075296</v>
      </c>
      <c r="AS28" s="103"/>
      <c r="AT28" s="80">
        <f>N28-(AF28+AG28+'TABLE 4 - October 2016 Dataset'!Y28)</f>
        <v>1171647.311554234</v>
      </c>
      <c r="AU28" s="187">
        <f t="shared" si="10"/>
        <v>1319907.5542075296</v>
      </c>
      <c r="AV28" s="165">
        <f t="shared" si="11"/>
        <v>2802.9839989335742</v>
      </c>
      <c r="AW28" s="165">
        <f>AU28/SUM('TABLE 4 - October 2016 Dataset'!F28:H28)</f>
        <v>3157.6735746591617</v>
      </c>
      <c r="AX28" s="173">
        <f t="shared" si="12"/>
        <v>0.12653999304331842</v>
      </c>
      <c r="AY28" s="173">
        <f t="shared" si="13"/>
        <v>0</v>
      </c>
      <c r="AZ28" s="175">
        <f t="shared" si="14"/>
        <v>0</v>
      </c>
      <c r="BA28" s="165">
        <f>AZ28*SUM('TABLE 4 - October 2016 Dataset'!F28:H28)</f>
        <v>0</v>
      </c>
      <c r="BB28" s="94">
        <f t="shared" si="15"/>
        <v>1434083.5542075296</v>
      </c>
      <c r="BC28" s="103"/>
      <c r="BD28" s="184">
        <f>'TABLE 3 - Target Illustrative'!AR28-(AF28+AG28+AH28)</f>
        <v>1353000</v>
      </c>
      <c r="BE28" s="165">
        <f>BD28/SUM('TABLE 4 - October 2016 Dataset'!F28:H28)</f>
        <v>3236.8421052631579</v>
      </c>
      <c r="BF28" s="173">
        <f t="shared" si="16"/>
        <v>0.15478436783608096</v>
      </c>
      <c r="BG28" s="185">
        <f t="shared" si="17"/>
        <v>3.0956873567216193E-2</v>
      </c>
      <c r="BH28" s="185">
        <f t="shared" si="18"/>
        <v>3.0956873567216193E-2</v>
      </c>
      <c r="BI28" s="173">
        <f t="shared" si="19"/>
        <v>-9.5583119476102235E-2</v>
      </c>
      <c r="BJ28" s="175">
        <f t="shared" si="20"/>
        <v>-267.91795445967063</v>
      </c>
      <c r="BK28" s="165">
        <f>BJ28*SUM('TABLE 4 - October 2016 Dataset'!F28:H28)</f>
        <v>-111989.70496414232</v>
      </c>
      <c r="BL28" s="94">
        <f t="shared" si="21"/>
        <v>1322093.8492433873</v>
      </c>
      <c r="BM28" s="103"/>
      <c r="BN28" s="179">
        <f t="shared" si="22"/>
        <v>1317917.8492433873</v>
      </c>
      <c r="BO28" s="175">
        <f>BN28/SUM('TABLE 4 - October 2016 Dataset'!F28:H28)</f>
        <v>3152.9135149363333</v>
      </c>
      <c r="BP28" s="175">
        <f t="shared" si="23"/>
        <v>147.08648506366671</v>
      </c>
      <c r="BQ28" s="175">
        <f>BP28*SUM('TABLE 4 - October 2016 Dataset'!F28:H28)</f>
        <v>61482.150756612689</v>
      </c>
      <c r="BR28" s="94">
        <f t="shared" si="24"/>
        <v>1383576</v>
      </c>
      <c r="BS28" s="103"/>
      <c r="BT28" s="80">
        <f t="shared" si="25"/>
        <v>1285823.311554234</v>
      </c>
      <c r="BU28" s="122">
        <f t="shared" si="26"/>
        <v>3076.1323242924259</v>
      </c>
      <c r="BV28" s="264">
        <f t="shared" si="27"/>
        <v>1383576</v>
      </c>
      <c r="BW28" s="81">
        <f>BV28/SUM('TABLE 4 - October 2016 Dataset'!F28:H28)</f>
        <v>3309.9904306220096</v>
      </c>
      <c r="BX28" s="264">
        <f t="shared" si="28"/>
        <v>97752.688445765991</v>
      </c>
      <c r="BY28" s="81">
        <f t="shared" si="29"/>
        <v>233.85810632958373</v>
      </c>
      <c r="BZ28" s="269">
        <f t="shared" si="30"/>
        <v>7.6023422166462212E-2</v>
      </c>
      <c r="CA28" s="103"/>
      <c r="CB28" s="80">
        <f>'TABLE 5 - DfE Published Figures'!J27</f>
        <v>1379000</v>
      </c>
      <c r="CC28" s="84">
        <f t="shared" si="31"/>
        <v>5000</v>
      </c>
      <c r="CD28" s="81"/>
      <c r="CE28" s="81"/>
      <c r="CF28" s="81"/>
      <c r="CG28" s="81"/>
      <c r="CH28" s="2"/>
    </row>
    <row r="29" spans="2:86" ht="15.75">
      <c r="B29" s="198">
        <v>2011</v>
      </c>
      <c r="C29" s="60" t="s">
        <v>36</v>
      </c>
      <c r="D29" s="204" t="s">
        <v>73</v>
      </c>
      <c r="F29" s="80">
        <v>415</v>
      </c>
      <c r="G29" s="163"/>
      <c r="H29" s="164">
        <v>0</v>
      </c>
      <c r="I29" s="94">
        <f t="shared" si="0"/>
        <v>415</v>
      </c>
      <c r="J29" s="103"/>
      <c r="K29" s="80">
        <v>1292259.8251200963</v>
      </c>
      <c r="L29" s="163"/>
      <c r="M29" s="163"/>
      <c r="N29" s="94">
        <f t="shared" si="1"/>
        <v>1292259.8251200963</v>
      </c>
      <c r="O29" s="103"/>
      <c r="P29" s="80">
        <f>P$76*'TABLE 4 - October 2016 Dataset'!F29</f>
        <v>1140000.8499999999</v>
      </c>
      <c r="Q29" s="160"/>
      <c r="R29" s="161"/>
      <c r="S29" s="162">
        <f t="shared" si="3"/>
        <v>1140000.8499999999</v>
      </c>
      <c r="T29" s="165">
        <f>T$76*'TABLE 4 - October 2016 Dataset'!I29</f>
        <v>8360.0000000000036</v>
      </c>
      <c r="U29" s="165">
        <f>U$76*'TABLE 4 - October 2016 Dataset'!J29</f>
        <v>23865.194805194802</v>
      </c>
      <c r="V29" s="165">
        <f>V$76*'TABLE 4 - October 2016 Dataset'!K29</f>
        <v>0</v>
      </c>
      <c r="W29" s="165">
        <f>W$76*'TABLE 4 - October 2016 Dataset'!L29</f>
        <v>0</v>
      </c>
      <c r="X29" s="165">
        <f>X$76*'TABLE 4 - October 2016 Dataset'!M29</f>
        <v>1978.6063569682112</v>
      </c>
      <c r="Y29" s="165">
        <f>Y$76*'TABLE 4 - October 2016 Dataset'!N29</f>
        <v>365.2811735941313</v>
      </c>
      <c r="Z29" s="165">
        <f>Z$76*'TABLE 4 - October 2016 Dataset'!O29</f>
        <v>2191.68704156479</v>
      </c>
      <c r="AA29" s="165">
        <f>AA$76*'TABLE 4 - October 2016 Dataset'!P29</f>
        <v>1420.5378973105157</v>
      </c>
      <c r="AB29" s="162">
        <f t="shared" si="4"/>
        <v>38181.307274632454</v>
      </c>
      <c r="AC29" s="140">
        <f>AC$76*'TABLE 4 - October 2016 Dataset'!Q29</f>
        <v>92023.874627596728</v>
      </c>
      <c r="AD29" s="140">
        <f>AD$76*'TABLE 4 - October 2016 Dataset'!R29</f>
        <v>16904.802259887005</v>
      </c>
      <c r="AE29" s="140">
        <f>AE$76*'TABLE 4 - October 2016 Dataset'!S29</f>
        <v>0</v>
      </c>
      <c r="AF29" s="140">
        <f t="shared" si="5"/>
        <v>110000</v>
      </c>
      <c r="AG29" s="140">
        <f>IF('TABLE 4 - October 2016 Dataset'!X29="No",0,"*CHECK*")</f>
        <v>0</v>
      </c>
      <c r="AH29" s="140">
        <f>'TABLE 4 - October 2016 Dataset'!Y29</f>
        <v>7687.55</v>
      </c>
      <c r="AI29" s="170">
        <f>IF('TABLE 4 - October 2016 Dataset'!Z29&gt;0,('TABLE 4 - October 2016 Dataset'!Z29*(1+AI$79))-((AI$76*SUM('TABLE 4 - October 2016 Dataset'!F29:H29))+AI$77),0)</f>
        <v>0</v>
      </c>
      <c r="AJ29" s="166" t="str">
        <f>IF('TABLE 4 - October 2016 Dataset'!AA29="Yes",'TABLE 1 - 2018-19 Provisional'!AJ$76*SUM('TABLE 4 - October 2016 Dataset'!F29:H29),"")</f>
        <v/>
      </c>
      <c r="AK29" s="140">
        <f t="shared" si="6"/>
        <v>0</v>
      </c>
      <c r="AL29" s="94">
        <f t="shared" si="7"/>
        <v>1404798.3841621161</v>
      </c>
      <c r="AM29" s="103"/>
      <c r="AN29" s="80">
        <f t="shared" si="8"/>
        <v>1397110.8341621161</v>
      </c>
      <c r="AO29" s="165">
        <f>AN29/SUM('TABLE 4 - October 2016 Dataset'!F29:H29)</f>
        <v>3366.5321305111229</v>
      </c>
      <c r="AP29" s="165">
        <f t="shared" si="2"/>
        <v>0</v>
      </c>
      <c r="AQ29" s="165">
        <f>AP29*SUM('TABLE 4 - October 2016 Dataset'!F29:H29)</f>
        <v>0</v>
      </c>
      <c r="AR29" s="94">
        <f t="shared" si="9"/>
        <v>1404798.3841621161</v>
      </c>
      <c r="AS29" s="103"/>
      <c r="AT29" s="80">
        <f>N29-(AF29+AG29+'TABLE 4 - October 2016 Dataset'!Y29)</f>
        <v>1174572.2751200963</v>
      </c>
      <c r="AU29" s="187">
        <f t="shared" si="10"/>
        <v>1287110.8341621161</v>
      </c>
      <c r="AV29" s="165">
        <f t="shared" si="11"/>
        <v>2830.2946388436053</v>
      </c>
      <c r="AW29" s="165">
        <f>AU29/SUM('TABLE 4 - October 2016 Dataset'!F29:H29)</f>
        <v>3101.4718895472674</v>
      </c>
      <c r="AX29" s="173">
        <f t="shared" si="12"/>
        <v>9.5812374790229971E-2</v>
      </c>
      <c r="AY29" s="173">
        <f t="shared" si="13"/>
        <v>0</v>
      </c>
      <c r="AZ29" s="175">
        <f t="shared" si="14"/>
        <v>0</v>
      </c>
      <c r="BA29" s="165">
        <f>AZ29*SUM('TABLE 4 - October 2016 Dataset'!F29:H29)</f>
        <v>0</v>
      </c>
      <c r="BB29" s="94">
        <f t="shared" si="15"/>
        <v>1404798.3841621161</v>
      </c>
      <c r="BC29" s="103"/>
      <c r="BD29" s="184">
        <f>'TABLE 3 - Target Illustrative'!AR29-(AF29+AG29+AH29)</f>
        <v>1342500</v>
      </c>
      <c r="BE29" s="165">
        <f>BD29/SUM('TABLE 4 - October 2016 Dataset'!F29:H29)</f>
        <v>3234.9397590361446</v>
      </c>
      <c r="BF29" s="173">
        <f t="shared" si="16"/>
        <v>0.14296925650040038</v>
      </c>
      <c r="BG29" s="185">
        <f t="shared" si="17"/>
        <v>2.8593851300080075E-2</v>
      </c>
      <c r="BH29" s="185">
        <f t="shared" si="18"/>
        <v>0.03</v>
      </c>
      <c r="BI29" s="173">
        <f t="shared" si="19"/>
        <v>-6.5812374790229972E-2</v>
      </c>
      <c r="BJ29" s="175">
        <f t="shared" si="20"/>
        <v>-186.26841153835394</v>
      </c>
      <c r="BK29" s="165">
        <f>BJ29*SUM('TABLE 4 - October 2016 Dataset'!F29:H29)</f>
        <v>-77301.390788416888</v>
      </c>
      <c r="BL29" s="94">
        <f t="shared" si="21"/>
        <v>1327496.9933736993</v>
      </c>
      <c r="BM29" s="103"/>
      <c r="BN29" s="179">
        <f t="shared" si="22"/>
        <v>1319809.4433736992</v>
      </c>
      <c r="BO29" s="175">
        <f>BN29/SUM('TABLE 4 - October 2016 Dataset'!F29:H29)</f>
        <v>3180.2637189727693</v>
      </c>
      <c r="BP29" s="175">
        <f t="shared" si="23"/>
        <v>119.73628102723069</v>
      </c>
      <c r="BQ29" s="175">
        <f>BP29*SUM('TABLE 4 - October 2016 Dataset'!F29:H29)</f>
        <v>49690.556626300735</v>
      </c>
      <c r="BR29" s="94">
        <f t="shared" si="24"/>
        <v>1377187.55</v>
      </c>
      <c r="BS29" s="103"/>
      <c r="BT29" s="80">
        <f t="shared" si="25"/>
        <v>1292259.8251200963</v>
      </c>
      <c r="BU29" s="122">
        <f t="shared" si="26"/>
        <v>3113.8790966749311</v>
      </c>
      <c r="BV29" s="264">
        <f t="shared" si="27"/>
        <v>1377187.55</v>
      </c>
      <c r="BW29" s="81">
        <f>BV29/SUM('TABLE 4 - October 2016 Dataset'!F29:H29)</f>
        <v>3318.5242168674699</v>
      </c>
      <c r="BX29" s="264">
        <f t="shared" si="28"/>
        <v>84927.724879903719</v>
      </c>
      <c r="BY29" s="81">
        <f t="shared" si="29"/>
        <v>204.6451201925388</v>
      </c>
      <c r="BZ29" s="269">
        <f t="shared" si="30"/>
        <v>6.5720316633700829E-2</v>
      </c>
      <c r="CA29" s="103"/>
      <c r="CB29" s="80">
        <f>'TABLE 5 - DfE Published Figures'!J28</f>
        <v>1370000</v>
      </c>
      <c r="CC29" s="84">
        <f t="shared" si="31"/>
        <v>7000</v>
      </c>
      <c r="CD29" s="81"/>
      <c r="CE29" s="81"/>
      <c r="CF29" s="81"/>
      <c r="CG29" s="81"/>
      <c r="CH29" s="2"/>
    </row>
    <row r="30" spans="2:86" ht="15.75">
      <c r="B30" s="198">
        <v>2428</v>
      </c>
      <c r="C30" s="60" t="s">
        <v>37</v>
      </c>
      <c r="D30" s="204"/>
      <c r="F30" s="80">
        <v>283</v>
      </c>
      <c r="G30" s="163"/>
      <c r="H30" s="164">
        <v>0</v>
      </c>
      <c r="I30" s="94">
        <f t="shared" si="0"/>
        <v>283</v>
      </c>
      <c r="J30" s="103"/>
      <c r="K30" s="80">
        <v>974350.61594525084</v>
      </c>
      <c r="L30" s="163"/>
      <c r="M30" s="163"/>
      <c r="N30" s="94">
        <f t="shared" si="1"/>
        <v>974350.61594525084</v>
      </c>
      <c r="O30" s="103"/>
      <c r="P30" s="80">
        <f>P$76*'TABLE 4 - October 2016 Dataset'!F30</f>
        <v>777398.16999999993</v>
      </c>
      <c r="Q30" s="160"/>
      <c r="R30" s="161"/>
      <c r="S30" s="162">
        <f t="shared" si="3"/>
        <v>777398.16999999993</v>
      </c>
      <c r="T30" s="165">
        <f>T$76*'TABLE 4 - October 2016 Dataset'!I30</f>
        <v>11439.999999999996</v>
      </c>
      <c r="U30" s="165">
        <f>U$76*'TABLE 4 - October 2016 Dataset'!J30</f>
        <v>25141.354838709678</v>
      </c>
      <c r="V30" s="165">
        <f>V$76*'TABLE 4 - October 2016 Dataset'!K30</f>
        <v>0</v>
      </c>
      <c r="W30" s="165">
        <f>W$76*'TABLE 4 - October 2016 Dataset'!L30</f>
        <v>3371.9148936170172</v>
      </c>
      <c r="X30" s="165">
        <f>X$76*'TABLE 4 - October 2016 Dataset'!M30</f>
        <v>0</v>
      </c>
      <c r="Y30" s="165">
        <f>Y$76*'TABLE 4 - October 2016 Dataset'!N30</f>
        <v>3251.4893617021298</v>
      </c>
      <c r="Z30" s="165">
        <f>Z$76*'TABLE 4 - October 2016 Dataset'!O30</f>
        <v>240.85106382978711</v>
      </c>
      <c r="AA30" s="165">
        <f>AA$76*'TABLE 4 - October 2016 Dataset'!P30</f>
        <v>2207.8014184397189</v>
      </c>
      <c r="AB30" s="162">
        <f t="shared" si="4"/>
        <v>45653.411576298327</v>
      </c>
      <c r="AC30" s="140">
        <f>AC$76*'TABLE 4 - October 2016 Dataset'!Q30</f>
        <v>71264.980152490796</v>
      </c>
      <c r="AD30" s="140">
        <f>AD$76*'TABLE 4 - October 2016 Dataset'!R30</f>
        <v>8641.0079051383364</v>
      </c>
      <c r="AE30" s="140">
        <f>AE$76*'TABLE 4 - October 2016 Dataset'!S30</f>
        <v>0</v>
      </c>
      <c r="AF30" s="140">
        <f t="shared" si="5"/>
        <v>110000</v>
      </c>
      <c r="AG30" s="140">
        <f>IF('TABLE 4 - October 2016 Dataset'!X30="No",0,"*CHECK*")</f>
        <v>0</v>
      </c>
      <c r="AH30" s="140">
        <f>'TABLE 4 - October 2016 Dataset'!Y30</f>
        <v>28560</v>
      </c>
      <c r="AI30" s="170">
        <f>IF('TABLE 4 - October 2016 Dataset'!Z30&gt;0,('TABLE 4 - October 2016 Dataset'!Z30*(1+AI$79))-((AI$76*SUM('TABLE 4 - October 2016 Dataset'!F30:H30))+AI$77),0)</f>
        <v>0</v>
      </c>
      <c r="AJ30" s="166" t="str">
        <f>IF('TABLE 4 - October 2016 Dataset'!AA30="Yes",'TABLE 1 - 2018-19 Provisional'!AJ$76*SUM('TABLE 4 - October 2016 Dataset'!F30:H30),"")</f>
        <v/>
      </c>
      <c r="AK30" s="140">
        <f t="shared" si="6"/>
        <v>0</v>
      </c>
      <c r="AL30" s="94">
        <f t="shared" si="7"/>
        <v>1041517.5696339273</v>
      </c>
      <c r="AM30" s="103"/>
      <c r="AN30" s="80">
        <f t="shared" si="8"/>
        <v>1012957.5696339273</v>
      </c>
      <c r="AO30" s="165">
        <f>AN30/SUM('TABLE 4 - October 2016 Dataset'!F30:H30)</f>
        <v>3579.3553697311918</v>
      </c>
      <c r="AP30" s="165">
        <f t="shared" si="2"/>
        <v>0</v>
      </c>
      <c r="AQ30" s="165">
        <f>AP30*SUM('TABLE 4 - October 2016 Dataset'!F30:H30)</f>
        <v>0</v>
      </c>
      <c r="AR30" s="94">
        <f t="shared" si="9"/>
        <v>1041517.5696339273</v>
      </c>
      <c r="AS30" s="103"/>
      <c r="AT30" s="80">
        <f>N30-(AF30+AG30+'TABLE 4 - October 2016 Dataset'!Y30)</f>
        <v>835790.61594525084</v>
      </c>
      <c r="AU30" s="187">
        <f t="shared" si="10"/>
        <v>902957.56963392731</v>
      </c>
      <c r="AV30" s="165">
        <f t="shared" si="11"/>
        <v>2953.3237312553033</v>
      </c>
      <c r="AW30" s="165">
        <f>AU30/SUM('TABLE 4 - October 2016 Dataset'!F30:H30)</f>
        <v>3190.6627902258915</v>
      </c>
      <c r="AX30" s="173">
        <f t="shared" si="12"/>
        <v>8.0363373801120019E-2</v>
      </c>
      <c r="AY30" s="173">
        <f t="shared" si="13"/>
        <v>0</v>
      </c>
      <c r="AZ30" s="175">
        <f t="shared" si="14"/>
        <v>0</v>
      </c>
      <c r="BA30" s="165">
        <f>AZ30*SUM('TABLE 4 - October 2016 Dataset'!F30:H30)</f>
        <v>0</v>
      </c>
      <c r="BB30" s="94">
        <f t="shared" si="15"/>
        <v>1041517.5696339273</v>
      </c>
      <c r="BC30" s="103"/>
      <c r="BD30" s="184">
        <f>'TABLE 3 - Target Illustrative'!AR30-(AF30+AG30+AH30)</f>
        <v>902957.56963392731</v>
      </c>
      <c r="BE30" s="165">
        <f>BD30/SUM('TABLE 4 - October 2016 Dataset'!F30:H30)</f>
        <v>3190.6627902258915</v>
      </c>
      <c r="BF30" s="173">
        <f t="shared" si="16"/>
        <v>8.0363373801120019E-2</v>
      </c>
      <c r="BG30" s="185">
        <f t="shared" si="17"/>
        <v>1.6072674760224004E-2</v>
      </c>
      <c r="BH30" s="185">
        <f t="shared" si="18"/>
        <v>0.03</v>
      </c>
      <c r="BI30" s="173">
        <f t="shared" si="19"/>
        <v>-5.036337380112002E-2</v>
      </c>
      <c r="BJ30" s="175">
        <f t="shared" si="20"/>
        <v>-148.73934703292937</v>
      </c>
      <c r="BK30" s="165">
        <f>BJ30*SUM('TABLE 4 - October 2016 Dataset'!F30:H30)</f>
        <v>-42093.235210319013</v>
      </c>
      <c r="BL30" s="94">
        <f t="shared" si="21"/>
        <v>999424.33442360826</v>
      </c>
      <c r="BM30" s="103"/>
      <c r="BN30" s="179">
        <f t="shared" si="22"/>
        <v>970864.33442360826</v>
      </c>
      <c r="BO30" s="175">
        <f>BN30/SUM('TABLE 4 - October 2016 Dataset'!F30:H30)</f>
        <v>3430.6160226982624</v>
      </c>
      <c r="BP30" s="175">
        <f t="shared" si="23"/>
        <v>0</v>
      </c>
      <c r="BQ30" s="175">
        <f>BP30*SUM('TABLE 4 - October 2016 Dataset'!F30:H30)</f>
        <v>0</v>
      </c>
      <c r="BR30" s="94">
        <f t="shared" si="24"/>
        <v>999424.33442360826</v>
      </c>
      <c r="BS30" s="103"/>
      <c r="BT30" s="80">
        <f t="shared" si="25"/>
        <v>974350.61594525084</v>
      </c>
      <c r="BU30" s="122">
        <f t="shared" si="26"/>
        <v>3442.9350386757978</v>
      </c>
      <c r="BV30" s="264">
        <f t="shared" si="27"/>
        <v>999424.33442360826</v>
      </c>
      <c r="BW30" s="81">
        <f>BV30/SUM('TABLE 4 - October 2016 Dataset'!F30:H30)</f>
        <v>3531.5347506134567</v>
      </c>
      <c r="BX30" s="264">
        <f t="shared" si="28"/>
        <v>25073.718478357419</v>
      </c>
      <c r="BY30" s="81">
        <f t="shared" si="29"/>
        <v>88.599711937658867</v>
      </c>
      <c r="BZ30" s="269">
        <f t="shared" si="30"/>
        <v>2.573377392904154E-2</v>
      </c>
      <c r="CA30" s="103"/>
      <c r="CB30" s="80">
        <f>'TABLE 5 - DfE Published Figures'!J29</f>
        <v>988000</v>
      </c>
      <c r="CC30" s="84">
        <f t="shared" si="31"/>
        <v>11000</v>
      </c>
      <c r="CD30" s="81"/>
      <c r="CE30" s="81"/>
      <c r="CF30" s="81"/>
      <c r="CG30" s="81"/>
      <c r="CH30" s="2"/>
    </row>
    <row r="31" spans="2:86" ht="15.75">
      <c r="B31" s="198">
        <v>3158</v>
      </c>
      <c r="C31" s="60" t="s">
        <v>38</v>
      </c>
      <c r="D31" s="204"/>
      <c r="F31" s="80">
        <v>197</v>
      </c>
      <c r="G31" s="163"/>
      <c r="H31" s="164">
        <v>-1</v>
      </c>
      <c r="I31" s="94">
        <f t="shared" si="0"/>
        <v>196</v>
      </c>
      <c r="J31" s="103"/>
      <c r="K31" s="80">
        <v>697344.84984038863</v>
      </c>
      <c r="L31" s="163"/>
      <c r="M31" s="163"/>
      <c r="N31" s="94">
        <f t="shared" si="1"/>
        <v>697344.84984038863</v>
      </c>
      <c r="O31" s="103"/>
      <c r="P31" s="80">
        <f>P$76*'TABLE 4 - October 2016 Dataset'!F31</f>
        <v>538410.03999999992</v>
      </c>
      <c r="Q31" s="160"/>
      <c r="R31" s="161"/>
      <c r="S31" s="162">
        <f t="shared" si="3"/>
        <v>538410.03999999992</v>
      </c>
      <c r="T31" s="165">
        <f>T$76*'TABLE 4 - October 2016 Dataset'!I31</f>
        <v>1320.0000000000007</v>
      </c>
      <c r="U31" s="165">
        <f>U$76*'TABLE 4 - October 2016 Dataset'!J31</f>
        <v>5345.454545454546</v>
      </c>
      <c r="V31" s="165">
        <f>V$76*'TABLE 4 - October 2016 Dataset'!K31</f>
        <v>0</v>
      </c>
      <c r="W31" s="165">
        <f>W$76*'TABLE 4 - October 2016 Dataset'!L31</f>
        <v>848.65979381443594</v>
      </c>
      <c r="X31" s="165">
        <f>X$76*'TABLE 4 - October 2016 Dataset'!M31</f>
        <v>394.02061855670092</v>
      </c>
      <c r="Y31" s="165">
        <f>Y$76*'TABLE 4 - October 2016 Dataset'!N31</f>
        <v>0</v>
      </c>
      <c r="Z31" s="165">
        <f>Z$76*'TABLE 4 - October 2016 Dataset'!O31</f>
        <v>0</v>
      </c>
      <c r="AA31" s="165">
        <f>AA$76*'TABLE 4 - October 2016 Dataset'!P31</f>
        <v>5051.5463917525658</v>
      </c>
      <c r="AB31" s="162">
        <f t="shared" si="4"/>
        <v>12959.68134957825</v>
      </c>
      <c r="AC31" s="140">
        <f>AC$76*'TABLE 4 - October 2016 Dataset'!Q31</f>
        <v>43604.265977848219</v>
      </c>
      <c r="AD31" s="140">
        <f>AD$76*'TABLE 4 - October 2016 Dataset'!R31</f>
        <v>17528.502994011931</v>
      </c>
      <c r="AE31" s="140">
        <f>AE$76*'TABLE 4 - October 2016 Dataset'!S31</f>
        <v>0</v>
      </c>
      <c r="AF31" s="140">
        <f t="shared" si="5"/>
        <v>110000</v>
      </c>
      <c r="AG31" s="140">
        <f>IF('TABLE 4 - October 2016 Dataset'!X31="No",0,"*CHECK*")</f>
        <v>0</v>
      </c>
      <c r="AH31" s="140">
        <f>'TABLE 4 - October 2016 Dataset'!Y31</f>
        <v>15921.64</v>
      </c>
      <c r="AI31" s="170">
        <f>IF('TABLE 4 - October 2016 Dataset'!Z31&gt;0,('TABLE 4 - October 2016 Dataset'!Z31*(1+AI$79))-((AI$76*SUM('TABLE 4 - October 2016 Dataset'!F31:H31))+AI$77),0)</f>
        <v>0</v>
      </c>
      <c r="AJ31" s="166" t="str">
        <f>IF('TABLE 4 - October 2016 Dataset'!AA31="Yes",'TABLE 1 - 2018-19 Provisional'!AJ$76*SUM('TABLE 4 - October 2016 Dataset'!F31:H31),"")</f>
        <v/>
      </c>
      <c r="AK31" s="140">
        <f t="shared" si="6"/>
        <v>0</v>
      </c>
      <c r="AL31" s="94">
        <f t="shared" si="7"/>
        <v>738424.13032143831</v>
      </c>
      <c r="AM31" s="103"/>
      <c r="AN31" s="80">
        <f t="shared" si="8"/>
        <v>722502.49032143829</v>
      </c>
      <c r="AO31" s="165">
        <f>AN31/SUM('TABLE 4 - October 2016 Dataset'!F31:H31)</f>
        <v>3686.2371955175422</v>
      </c>
      <c r="AP31" s="165">
        <f t="shared" si="2"/>
        <v>0</v>
      </c>
      <c r="AQ31" s="165">
        <f>AP31*SUM('TABLE 4 - October 2016 Dataset'!F31:H31)</f>
        <v>0</v>
      </c>
      <c r="AR31" s="94">
        <f t="shared" si="9"/>
        <v>738424.13032143831</v>
      </c>
      <c r="AS31" s="103"/>
      <c r="AT31" s="80">
        <f>N31-(AF31+AG31+'TABLE 4 - October 2016 Dataset'!Y31)</f>
        <v>571423.20984038862</v>
      </c>
      <c r="AU31" s="187">
        <f t="shared" si="10"/>
        <v>612502.49032143829</v>
      </c>
      <c r="AV31" s="165">
        <f t="shared" si="11"/>
        <v>2915.4245400019827</v>
      </c>
      <c r="AW31" s="165">
        <f>AU31/SUM('TABLE 4 - October 2016 Dataset'!F31:H31)</f>
        <v>3125.0127057216241</v>
      </c>
      <c r="AX31" s="173">
        <f t="shared" si="12"/>
        <v>7.1889415364356779E-2</v>
      </c>
      <c r="AY31" s="173">
        <f t="shared" si="13"/>
        <v>0</v>
      </c>
      <c r="AZ31" s="175">
        <f t="shared" si="14"/>
        <v>0</v>
      </c>
      <c r="BA31" s="165">
        <f>AZ31*SUM('TABLE 4 - October 2016 Dataset'!F31:H31)</f>
        <v>0</v>
      </c>
      <c r="BB31" s="94">
        <f t="shared" si="15"/>
        <v>738424.13032143831</v>
      </c>
      <c r="BC31" s="103"/>
      <c r="BD31" s="184">
        <f>'TABLE 3 - Target Illustrative'!AR31-(AF31+AG31+AH31)</f>
        <v>612502.49032143829</v>
      </c>
      <c r="BE31" s="165">
        <f>BD31/SUM('TABLE 4 - October 2016 Dataset'!F31:H31)</f>
        <v>3125.0127057216241</v>
      </c>
      <c r="BF31" s="173">
        <f t="shared" si="16"/>
        <v>7.1889415364356779E-2</v>
      </c>
      <c r="BG31" s="185">
        <f t="shared" si="17"/>
        <v>1.4377883072871356E-2</v>
      </c>
      <c r="BH31" s="185">
        <f t="shared" si="18"/>
        <v>0.03</v>
      </c>
      <c r="BI31" s="173">
        <f t="shared" si="19"/>
        <v>-4.188941536435678E-2</v>
      </c>
      <c r="BJ31" s="175">
        <f t="shared" si="20"/>
        <v>-122.12542951958186</v>
      </c>
      <c r="BK31" s="165">
        <f>BJ31*SUM('TABLE 4 - October 2016 Dataset'!F31:H31)</f>
        <v>-23936.584185838045</v>
      </c>
      <c r="BL31" s="94">
        <f t="shared" si="21"/>
        <v>714487.54613560031</v>
      </c>
      <c r="BM31" s="103"/>
      <c r="BN31" s="179">
        <f t="shared" si="22"/>
        <v>698565.90613560029</v>
      </c>
      <c r="BO31" s="175">
        <f>BN31/SUM('TABLE 4 - October 2016 Dataset'!F31:H31)</f>
        <v>3564.1117659979609</v>
      </c>
      <c r="BP31" s="175">
        <f t="shared" si="23"/>
        <v>0</v>
      </c>
      <c r="BQ31" s="175">
        <f>BP31*SUM('TABLE 4 - October 2016 Dataset'!F31:H31)</f>
        <v>0</v>
      </c>
      <c r="BR31" s="94">
        <f t="shared" si="24"/>
        <v>714487.54613560031</v>
      </c>
      <c r="BS31" s="103"/>
      <c r="BT31" s="80">
        <f t="shared" si="25"/>
        <v>697344.84984038863</v>
      </c>
      <c r="BU31" s="122">
        <f t="shared" si="26"/>
        <v>3557.8818869407582</v>
      </c>
      <c r="BV31" s="264">
        <f t="shared" si="27"/>
        <v>714487.54613560031</v>
      </c>
      <c r="BW31" s="81">
        <f>BV31/SUM('TABLE 4 - October 2016 Dataset'!F31:H31)</f>
        <v>3645.3446231408179</v>
      </c>
      <c r="BX31" s="264">
        <f t="shared" si="28"/>
        <v>17142.696295211674</v>
      </c>
      <c r="BY31" s="81">
        <f t="shared" si="29"/>
        <v>87.46273620005968</v>
      </c>
      <c r="BZ31" s="269">
        <f t="shared" si="30"/>
        <v>2.4582810497755011E-2</v>
      </c>
      <c r="CA31" s="103"/>
      <c r="CB31" s="80">
        <f>'TABLE 5 - DfE Published Figures'!J30</f>
        <v>707000</v>
      </c>
      <c r="CC31" s="84">
        <f t="shared" si="31"/>
        <v>7000</v>
      </c>
      <c r="CD31" s="81"/>
      <c r="CE31" s="81"/>
      <c r="CF31" s="81"/>
      <c r="CG31" s="81"/>
      <c r="CH31" s="2"/>
    </row>
    <row r="32" spans="2:86" ht="15.75">
      <c r="B32" s="198">
        <v>3159</v>
      </c>
      <c r="C32" s="60" t="s">
        <v>41</v>
      </c>
      <c r="D32" s="204"/>
      <c r="F32" s="80">
        <v>81</v>
      </c>
      <c r="G32" s="163"/>
      <c r="H32" s="164">
        <v>0</v>
      </c>
      <c r="I32" s="94">
        <f t="shared" si="0"/>
        <v>81</v>
      </c>
      <c r="J32" s="103"/>
      <c r="K32" s="80">
        <v>362539.93223416345</v>
      </c>
      <c r="L32" s="163"/>
      <c r="M32" s="163"/>
      <c r="N32" s="94">
        <f t="shared" si="1"/>
        <v>362539.93223416345</v>
      </c>
      <c r="O32" s="103"/>
      <c r="P32" s="80">
        <f>P$76*'TABLE 4 - October 2016 Dataset'!F32</f>
        <v>222506.18999999997</v>
      </c>
      <c r="Q32" s="160"/>
      <c r="R32" s="161"/>
      <c r="S32" s="162">
        <f t="shared" si="3"/>
        <v>222506.18999999997</v>
      </c>
      <c r="T32" s="165">
        <f>T$76*'TABLE 4 - October 2016 Dataset'!I32</f>
        <v>440.00000000000068</v>
      </c>
      <c r="U32" s="165">
        <f>U$76*'TABLE 4 - October 2016 Dataset'!J32</f>
        <v>3780</v>
      </c>
      <c r="V32" s="165">
        <f>V$76*'TABLE 4 - October 2016 Dataset'!K32</f>
        <v>0</v>
      </c>
      <c r="W32" s="165">
        <f>W$76*'TABLE 4 - October 2016 Dataset'!L32</f>
        <v>420.00000000000063</v>
      </c>
      <c r="X32" s="165">
        <f>X$76*'TABLE 4 - October 2016 Dataset'!M32</f>
        <v>0</v>
      </c>
      <c r="Y32" s="165">
        <f>Y$76*'TABLE 4 - October 2016 Dataset'!N32</f>
        <v>0</v>
      </c>
      <c r="Z32" s="165">
        <f>Z$76*'TABLE 4 - October 2016 Dataset'!O32</f>
        <v>0</v>
      </c>
      <c r="AA32" s="165">
        <f>AA$76*'TABLE 4 - October 2016 Dataset'!P32</f>
        <v>0</v>
      </c>
      <c r="AB32" s="162">
        <f t="shared" si="4"/>
        <v>4640.0000000000018</v>
      </c>
      <c r="AC32" s="140">
        <f>AC$76*'TABLE 4 - October 2016 Dataset'!Q32</f>
        <v>20574.074930619798</v>
      </c>
      <c r="AD32" s="140">
        <f>AD$76*'TABLE 4 - October 2016 Dataset'!R32</f>
        <v>0</v>
      </c>
      <c r="AE32" s="140">
        <f>AE$76*'TABLE 4 - October 2016 Dataset'!S32</f>
        <v>0</v>
      </c>
      <c r="AF32" s="140">
        <f t="shared" si="5"/>
        <v>110000</v>
      </c>
      <c r="AG32" s="140">
        <f>IF('TABLE 4 - October 2016 Dataset'!X32="No",0,"*CHECK*")</f>
        <v>0</v>
      </c>
      <c r="AH32" s="140">
        <f>'TABLE 4 - October 2016 Dataset'!Y32</f>
        <v>0</v>
      </c>
      <c r="AI32" s="170">
        <f>IF('TABLE 4 - October 2016 Dataset'!Z32&gt;0,('TABLE 4 - October 2016 Dataset'!Z32*(1+AI$79))-((AI$76*SUM('TABLE 4 - October 2016 Dataset'!F32:H32))+AI$77),0)</f>
        <v>0</v>
      </c>
      <c r="AJ32" s="166" t="str">
        <f>IF('TABLE 4 - October 2016 Dataset'!AA32="Yes",'TABLE 1 - 2018-19 Provisional'!AJ$76*SUM('TABLE 4 - October 2016 Dataset'!F32:H32),"")</f>
        <v/>
      </c>
      <c r="AK32" s="140">
        <f t="shared" si="6"/>
        <v>0</v>
      </c>
      <c r="AL32" s="94">
        <f t="shared" si="7"/>
        <v>357720.26493061974</v>
      </c>
      <c r="AM32" s="103"/>
      <c r="AN32" s="80">
        <f t="shared" si="8"/>
        <v>357720.26493061974</v>
      </c>
      <c r="AO32" s="165">
        <f>AN32/SUM('TABLE 4 - October 2016 Dataset'!F32:H32)</f>
        <v>4416.299567044688</v>
      </c>
      <c r="AP32" s="165">
        <f t="shared" si="2"/>
        <v>0</v>
      </c>
      <c r="AQ32" s="165">
        <f>AP32*SUM('TABLE 4 - October 2016 Dataset'!F32:H32)</f>
        <v>0</v>
      </c>
      <c r="AR32" s="94">
        <f t="shared" si="9"/>
        <v>357720.26493061974</v>
      </c>
      <c r="AS32" s="103"/>
      <c r="AT32" s="80">
        <f>N32-(AF32+AG32+'TABLE 4 - October 2016 Dataset'!Y32)</f>
        <v>252539.93223416345</v>
      </c>
      <c r="AU32" s="187">
        <f t="shared" si="10"/>
        <v>247720.26493061974</v>
      </c>
      <c r="AV32" s="165">
        <f t="shared" si="11"/>
        <v>3117.7769411625118</v>
      </c>
      <c r="AW32" s="165">
        <f>AU32/SUM('TABLE 4 - October 2016 Dataset'!F32:H32)</f>
        <v>3058.2748756866636</v>
      </c>
      <c r="AX32" s="173">
        <f t="shared" si="12"/>
        <v>-1.9084773092735041E-2</v>
      </c>
      <c r="AY32" s="173">
        <f t="shared" si="13"/>
        <v>2.4084773092735042E-2</v>
      </c>
      <c r="AZ32" s="175">
        <f t="shared" si="14"/>
        <v>75.090950181660631</v>
      </c>
      <c r="BA32" s="165">
        <f>AZ32*SUM('TABLE 4 - October 2016 Dataset'!F32:H32)</f>
        <v>6082.3669647145107</v>
      </c>
      <c r="BB32" s="94">
        <f t="shared" si="15"/>
        <v>363802.63189533423</v>
      </c>
      <c r="BC32" s="103"/>
      <c r="BD32" s="184">
        <f>'TABLE 3 - Target Illustrative'!AR32-(AF32+AG32+AH32)</f>
        <v>247720.26493061974</v>
      </c>
      <c r="BE32" s="165">
        <f>BD32/SUM('TABLE 4 - October 2016 Dataset'!F32:H32)</f>
        <v>3058.2748756866636</v>
      </c>
      <c r="BF32" s="173">
        <f t="shared" si="16"/>
        <v>-1.9084773092735041E-2</v>
      </c>
      <c r="BG32" s="185" t="str">
        <f t="shared" si="17"/>
        <v xml:space="preserve">            NA</v>
      </c>
      <c r="BH32" s="185">
        <f t="shared" si="18"/>
        <v>5.0000000000000001E-3</v>
      </c>
      <c r="BI32" s="173">
        <f t="shared" si="19"/>
        <v>0</v>
      </c>
      <c r="BJ32" s="175">
        <f t="shared" si="20"/>
        <v>0</v>
      </c>
      <c r="BK32" s="165">
        <f>BJ32*SUM('TABLE 4 - October 2016 Dataset'!F32:H32)</f>
        <v>0</v>
      </c>
      <c r="BL32" s="94">
        <f t="shared" si="21"/>
        <v>363802.63189533423</v>
      </c>
      <c r="BM32" s="103"/>
      <c r="BN32" s="179">
        <f t="shared" si="22"/>
        <v>363802.63189533423</v>
      </c>
      <c r="BO32" s="175">
        <f>BN32/SUM('TABLE 4 - October 2016 Dataset'!F32:H32)</f>
        <v>4491.3905172263485</v>
      </c>
      <c r="BP32" s="175">
        <f t="shared" si="23"/>
        <v>0</v>
      </c>
      <c r="BQ32" s="175">
        <f>BP32*SUM('TABLE 4 - October 2016 Dataset'!F32:H32)</f>
        <v>0</v>
      </c>
      <c r="BR32" s="94">
        <f t="shared" si="24"/>
        <v>363802.63189533423</v>
      </c>
      <c r="BS32" s="103"/>
      <c r="BT32" s="80">
        <f t="shared" si="25"/>
        <v>362539.93223416345</v>
      </c>
      <c r="BU32" s="122">
        <f t="shared" si="26"/>
        <v>4475.8016325205363</v>
      </c>
      <c r="BV32" s="264">
        <f t="shared" si="27"/>
        <v>363802.63189533423</v>
      </c>
      <c r="BW32" s="81">
        <f>BV32/SUM('TABLE 4 - October 2016 Dataset'!F32:H32)</f>
        <v>4491.3905172263485</v>
      </c>
      <c r="BX32" s="264">
        <f t="shared" si="28"/>
        <v>1262.6996611707727</v>
      </c>
      <c r="BY32" s="81">
        <f t="shared" si="29"/>
        <v>15.588884705812234</v>
      </c>
      <c r="BZ32" s="269">
        <f t="shared" si="30"/>
        <v>3.4829257383851915E-3</v>
      </c>
      <c r="CA32" s="103"/>
      <c r="CB32" s="80">
        <f>'TABLE 5 - DfE Published Figures'!J31</f>
        <v>362000</v>
      </c>
      <c r="CC32" s="84">
        <f t="shared" si="31"/>
        <v>2000</v>
      </c>
      <c r="CD32" s="81"/>
      <c r="CE32" s="81"/>
      <c r="CF32" s="81"/>
      <c r="CG32" s="81"/>
      <c r="CH32" s="2"/>
    </row>
    <row r="33" spans="2:86" ht="15.75">
      <c r="B33" s="198">
        <v>3901</v>
      </c>
      <c r="C33" s="60" t="s">
        <v>65</v>
      </c>
      <c r="D33" s="204" t="s">
        <v>70</v>
      </c>
      <c r="F33" s="80">
        <v>181</v>
      </c>
      <c r="G33" s="163"/>
      <c r="H33" s="164">
        <v>0</v>
      </c>
      <c r="I33" s="94">
        <f t="shared" si="0"/>
        <v>181</v>
      </c>
      <c r="J33" s="103"/>
      <c r="K33" s="80">
        <v>697890.7389950233</v>
      </c>
      <c r="L33" s="163"/>
      <c r="M33" s="163"/>
      <c r="N33" s="94">
        <f t="shared" si="1"/>
        <v>697890.7389950233</v>
      </c>
      <c r="O33" s="103"/>
      <c r="P33" s="80">
        <f>P$76*'TABLE 4 - October 2016 Dataset'!F33</f>
        <v>497205.18999999994</v>
      </c>
      <c r="Q33" s="160"/>
      <c r="R33" s="161"/>
      <c r="S33" s="162">
        <f t="shared" si="3"/>
        <v>497205.18999999994</v>
      </c>
      <c r="T33" s="165">
        <f>T$76*'TABLE 4 - October 2016 Dataset'!I33</f>
        <v>10560.000000000005</v>
      </c>
      <c r="U33" s="165">
        <f>U$76*'TABLE 4 - October 2016 Dataset'!J33</f>
        <v>26514.574468085102</v>
      </c>
      <c r="V33" s="165">
        <f>V$76*'TABLE 4 - October 2016 Dataset'!K33</f>
        <v>0</v>
      </c>
      <c r="W33" s="165">
        <f>W$76*'TABLE 4 - October 2016 Dataset'!L33</f>
        <v>0</v>
      </c>
      <c r="X33" s="165">
        <f>X$76*'TABLE 4 - October 2016 Dataset'!M33</f>
        <v>394.3575418994414</v>
      </c>
      <c r="Y33" s="165">
        <f>Y$76*'TABLE 4 - October 2016 Dataset'!N33</f>
        <v>1092.0670391061419</v>
      </c>
      <c r="Z33" s="165">
        <f>Z$76*'TABLE 4 - October 2016 Dataset'!O33</f>
        <v>19414.525139664805</v>
      </c>
      <c r="AA33" s="165">
        <f>AA$76*'TABLE 4 - October 2016 Dataset'!P33</f>
        <v>202.2346368715084</v>
      </c>
      <c r="AB33" s="162">
        <f t="shared" si="4"/>
        <v>58177.75882562701</v>
      </c>
      <c r="AC33" s="140">
        <f>AC$76*'TABLE 4 - October 2016 Dataset'!Q33</f>
        <v>55553.076923076871</v>
      </c>
      <c r="AD33" s="140">
        <f>AD$76*'TABLE 4 - October 2016 Dataset'!R33</f>
        <v>1792.5961538461511</v>
      </c>
      <c r="AE33" s="140">
        <f>AE$76*'TABLE 4 - October 2016 Dataset'!S33</f>
        <v>0</v>
      </c>
      <c r="AF33" s="140">
        <f t="shared" si="5"/>
        <v>110000</v>
      </c>
      <c r="AG33" s="140">
        <f>IF('TABLE 4 - October 2016 Dataset'!X33="No",0,"*CHECK*")</f>
        <v>0</v>
      </c>
      <c r="AH33" s="140">
        <f>'TABLE 4 - October 2016 Dataset'!Y33</f>
        <v>3768</v>
      </c>
      <c r="AI33" s="170">
        <f>IF('TABLE 4 - October 2016 Dataset'!Z33&gt;0,('TABLE 4 - October 2016 Dataset'!Z33*(1+AI$79))-((AI$76*SUM('TABLE 4 - October 2016 Dataset'!F33:H33))+AI$77),0)</f>
        <v>0</v>
      </c>
      <c r="AJ33" s="166" t="str">
        <f>IF('TABLE 4 - October 2016 Dataset'!AA33="Yes",'TABLE 1 - 2018-19 Provisional'!AJ$76*SUM('TABLE 4 - October 2016 Dataset'!F33:H33),"")</f>
        <v/>
      </c>
      <c r="AK33" s="140">
        <f t="shared" si="6"/>
        <v>0</v>
      </c>
      <c r="AL33" s="94">
        <f t="shared" si="7"/>
        <v>726496.62190254999</v>
      </c>
      <c r="AM33" s="103"/>
      <c r="AN33" s="80">
        <f t="shared" si="8"/>
        <v>722728.62190254999</v>
      </c>
      <c r="AO33" s="165">
        <f>AN33/SUM('TABLE 4 - October 2016 Dataset'!F33:H33)</f>
        <v>3992.9758116162984</v>
      </c>
      <c r="AP33" s="165">
        <f t="shared" si="2"/>
        <v>0</v>
      </c>
      <c r="AQ33" s="165">
        <f>AP33*SUM('TABLE 4 - October 2016 Dataset'!F33:H33)</f>
        <v>0</v>
      </c>
      <c r="AR33" s="94">
        <f t="shared" si="9"/>
        <v>726496.62190254999</v>
      </c>
      <c r="AS33" s="103"/>
      <c r="AT33" s="80">
        <f>N33-(AF33+AG33+'TABLE 4 - October 2016 Dataset'!Y33)</f>
        <v>584122.7389950233</v>
      </c>
      <c r="AU33" s="187">
        <f t="shared" si="10"/>
        <v>612728.62190254999</v>
      </c>
      <c r="AV33" s="165">
        <f t="shared" si="11"/>
        <v>3227.1974530111784</v>
      </c>
      <c r="AW33" s="165">
        <f>AU33/SUM('TABLE 4 - October 2016 Dataset'!F33:H33)</f>
        <v>3385.2410049864638</v>
      </c>
      <c r="AX33" s="173">
        <f t="shared" si="12"/>
        <v>4.8972383709531275E-2</v>
      </c>
      <c r="AY33" s="173">
        <f t="shared" si="13"/>
        <v>0</v>
      </c>
      <c r="AZ33" s="175">
        <f t="shared" si="14"/>
        <v>0</v>
      </c>
      <c r="BA33" s="165">
        <f>AZ33*SUM('TABLE 4 - October 2016 Dataset'!F33:H33)</f>
        <v>0</v>
      </c>
      <c r="BB33" s="94">
        <f t="shared" si="15"/>
        <v>726496.62190254999</v>
      </c>
      <c r="BC33" s="103"/>
      <c r="BD33" s="184">
        <f>'TABLE 3 - Target Illustrative'!AR33-(AF33+AG33+AH33)</f>
        <v>612728.62190254999</v>
      </c>
      <c r="BE33" s="165">
        <f>BD33/SUM('TABLE 4 - October 2016 Dataset'!F33:H33)</f>
        <v>3385.2410049864638</v>
      </c>
      <c r="BF33" s="173">
        <f t="shared" si="16"/>
        <v>4.8972383709531275E-2</v>
      </c>
      <c r="BG33" s="185">
        <f t="shared" si="17"/>
        <v>9.7944767419062551E-3</v>
      </c>
      <c r="BH33" s="185">
        <f t="shared" si="18"/>
        <v>0.03</v>
      </c>
      <c r="BI33" s="173">
        <f t="shared" si="19"/>
        <v>-1.8972383709531276E-2</v>
      </c>
      <c r="BJ33" s="175">
        <f t="shared" si="20"/>
        <v>-61.227628384950108</v>
      </c>
      <c r="BK33" s="165">
        <f>BJ33*SUM('TABLE 4 - October 2016 Dataset'!F33:H33)</f>
        <v>-11082.20073767597</v>
      </c>
      <c r="BL33" s="94">
        <f t="shared" si="21"/>
        <v>715414.42116487399</v>
      </c>
      <c r="BM33" s="103"/>
      <c r="BN33" s="179">
        <f t="shared" si="22"/>
        <v>711646.42116487399</v>
      </c>
      <c r="BO33" s="175">
        <f>BN33/SUM('TABLE 4 - October 2016 Dataset'!F33:H33)</f>
        <v>3931.7481832313479</v>
      </c>
      <c r="BP33" s="175">
        <f t="shared" si="23"/>
        <v>0</v>
      </c>
      <c r="BQ33" s="175">
        <f>BP33*SUM('TABLE 4 - October 2016 Dataset'!F33:H33)</f>
        <v>0</v>
      </c>
      <c r="BR33" s="94">
        <f t="shared" si="24"/>
        <v>715414.42116487399</v>
      </c>
      <c r="BS33" s="103"/>
      <c r="BT33" s="80">
        <f t="shared" si="25"/>
        <v>697890.7389950233</v>
      </c>
      <c r="BU33" s="122">
        <f t="shared" si="26"/>
        <v>3855.7499391990236</v>
      </c>
      <c r="BV33" s="264">
        <f t="shared" si="27"/>
        <v>715414.42116487399</v>
      </c>
      <c r="BW33" s="81">
        <f>BV33/SUM('TABLE 4 - October 2016 Dataset'!F33:H33)</f>
        <v>3952.565862789359</v>
      </c>
      <c r="BX33" s="264">
        <f t="shared" si="28"/>
        <v>17523.682169850683</v>
      </c>
      <c r="BY33" s="81">
        <f t="shared" si="29"/>
        <v>96.815923590335387</v>
      </c>
      <c r="BZ33" s="269">
        <f t="shared" si="30"/>
        <v>2.5109492347018619E-2</v>
      </c>
      <c r="CA33" s="103"/>
      <c r="CB33" s="80">
        <f>'TABLE 5 - DfE Published Figures'!J32</f>
        <v>715000</v>
      </c>
      <c r="CC33" s="84">
        <f t="shared" si="31"/>
        <v>0</v>
      </c>
      <c r="CD33" s="81"/>
      <c r="CE33" s="81"/>
      <c r="CF33" s="81"/>
      <c r="CG33" s="81"/>
      <c r="CH33" s="2"/>
    </row>
    <row r="34" spans="2:86" ht="15.75">
      <c r="B34" s="198">
        <v>2176</v>
      </c>
      <c r="C34" s="60" t="s">
        <v>42</v>
      </c>
      <c r="D34" s="204"/>
      <c r="F34" s="80">
        <v>302</v>
      </c>
      <c r="G34" s="163"/>
      <c r="H34" s="164">
        <v>0</v>
      </c>
      <c r="I34" s="94">
        <f t="shared" si="0"/>
        <v>302</v>
      </c>
      <c r="J34" s="103"/>
      <c r="K34" s="80">
        <v>1167762.1229248489</v>
      </c>
      <c r="L34" s="163"/>
      <c r="M34" s="163"/>
      <c r="N34" s="94">
        <f t="shared" si="1"/>
        <v>1167762.1229248489</v>
      </c>
      <c r="O34" s="103"/>
      <c r="P34" s="80">
        <f>P$76*'TABLE 4 - October 2016 Dataset'!F34</f>
        <v>829590.98</v>
      </c>
      <c r="Q34" s="160"/>
      <c r="R34" s="161"/>
      <c r="S34" s="162">
        <f t="shared" si="3"/>
        <v>829590.98</v>
      </c>
      <c r="T34" s="165">
        <f>T$76*'TABLE 4 - October 2016 Dataset'!I34</f>
        <v>18040.000000000065</v>
      </c>
      <c r="U34" s="165">
        <f>U$76*'TABLE 4 - October 2016 Dataset'!J34</f>
        <v>48718.867924528298</v>
      </c>
      <c r="V34" s="165">
        <f>V$76*'TABLE 4 - October 2016 Dataset'!K34</f>
        <v>0</v>
      </c>
      <c r="W34" s="165">
        <f>W$76*'TABLE 4 - October 2016 Dataset'!L34</f>
        <v>20717.199999999957</v>
      </c>
      <c r="X34" s="165">
        <f>X$76*'TABLE 4 - October 2016 Dataset'!M34</f>
        <v>1963.0000000000041</v>
      </c>
      <c r="Y34" s="165">
        <f>Y$76*'TABLE 4 - October 2016 Dataset'!N34</f>
        <v>0</v>
      </c>
      <c r="Z34" s="165">
        <f>Z$76*'TABLE 4 - October 2016 Dataset'!O34</f>
        <v>241.59999999999977</v>
      </c>
      <c r="AA34" s="165">
        <f>AA$76*'TABLE 4 - October 2016 Dataset'!P34</f>
        <v>18120</v>
      </c>
      <c r="AB34" s="162">
        <f t="shared" si="4"/>
        <v>107800.66792452833</v>
      </c>
      <c r="AC34" s="140">
        <f>AC$76*'TABLE 4 - October 2016 Dataset'!Q34</f>
        <v>114652.4610373497</v>
      </c>
      <c r="AD34" s="140">
        <f>AD$76*'TABLE 4 - October 2016 Dataset'!R34</f>
        <v>19295.075187969949</v>
      </c>
      <c r="AE34" s="140">
        <f>AE$76*'TABLE 4 - October 2016 Dataset'!S34</f>
        <v>4834.8000000000557</v>
      </c>
      <c r="AF34" s="140">
        <f t="shared" si="5"/>
        <v>110000</v>
      </c>
      <c r="AG34" s="140">
        <f>IF('TABLE 4 - October 2016 Dataset'!X34="No",0,"*CHECK*")</f>
        <v>0</v>
      </c>
      <c r="AH34" s="140">
        <f>'TABLE 4 - October 2016 Dataset'!Y34</f>
        <v>21734.68</v>
      </c>
      <c r="AI34" s="170">
        <f>IF('TABLE 4 - October 2016 Dataset'!Z34&gt;0,('TABLE 4 - October 2016 Dataset'!Z34*(1+AI$79))-((AI$76*SUM('TABLE 4 - October 2016 Dataset'!F34:H34))+AI$77),0)</f>
        <v>0</v>
      </c>
      <c r="AJ34" s="140">
        <f>IF('TABLE 4 - October 2016 Dataset'!AA34="Yes",'TABLE 1 - 2018-19 Provisional'!AJ$76*SUM('TABLE 4 - October 2016 Dataset'!F34:H34),"")</f>
        <v>59796</v>
      </c>
      <c r="AK34" s="140">
        <f t="shared" si="6"/>
        <v>0</v>
      </c>
      <c r="AL34" s="94">
        <f t="shared" si="7"/>
        <v>1267704.664149848</v>
      </c>
      <c r="AM34" s="103"/>
      <c r="AN34" s="80">
        <f t="shared" si="8"/>
        <v>1186173.9841498481</v>
      </c>
      <c r="AO34" s="165">
        <f>AN34/SUM('TABLE 4 - October 2016 Dataset'!F34:H34)</f>
        <v>3927.7284243372455</v>
      </c>
      <c r="AP34" s="165">
        <f t="shared" si="2"/>
        <v>0</v>
      </c>
      <c r="AQ34" s="165">
        <f>AP34*SUM('TABLE 4 - October 2016 Dataset'!F34:H34)</f>
        <v>0</v>
      </c>
      <c r="AR34" s="94">
        <f t="shared" si="9"/>
        <v>1267704.664149848</v>
      </c>
      <c r="AS34" s="103"/>
      <c r="AT34" s="80">
        <f>N34-(AF34+AG34+'TABLE 4 - October 2016 Dataset'!Y34)</f>
        <v>1036027.442924849</v>
      </c>
      <c r="AU34" s="187">
        <f t="shared" si="10"/>
        <v>1135969.9841498481</v>
      </c>
      <c r="AV34" s="165">
        <f t="shared" si="11"/>
        <v>3430.5544467710233</v>
      </c>
      <c r="AW34" s="165">
        <f>AU34/SUM('TABLE 4 - October 2016 Dataset'!F34:H34)</f>
        <v>3761.4900137412187</v>
      </c>
      <c r="AX34" s="173">
        <f t="shared" si="12"/>
        <v>9.646707904073204E-2</v>
      </c>
      <c r="AY34" s="173">
        <f t="shared" si="13"/>
        <v>0</v>
      </c>
      <c r="AZ34" s="175">
        <f t="shared" si="14"/>
        <v>0</v>
      </c>
      <c r="BA34" s="165">
        <f>AZ34*SUM('TABLE 4 - October 2016 Dataset'!F34:H34)</f>
        <v>0</v>
      </c>
      <c r="BB34" s="94">
        <f t="shared" si="15"/>
        <v>1267704.664149848</v>
      </c>
      <c r="BC34" s="103"/>
      <c r="BD34" s="184">
        <f>'TABLE 3 - Target Illustrative'!AR34-(AF34+AG34+AH34)</f>
        <v>1135969.9841498481</v>
      </c>
      <c r="BE34" s="165">
        <f>BD34/SUM('TABLE 4 - October 2016 Dataset'!F34:H34)</f>
        <v>3761.4900137412187</v>
      </c>
      <c r="BF34" s="173">
        <f t="shared" si="16"/>
        <v>9.646707904073204E-2</v>
      </c>
      <c r="BG34" s="185">
        <f t="shared" si="17"/>
        <v>1.9293415808146409E-2</v>
      </c>
      <c r="BH34" s="185">
        <f t="shared" si="18"/>
        <v>0.03</v>
      </c>
      <c r="BI34" s="173">
        <f t="shared" si="19"/>
        <v>-6.6467079040732041E-2</v>
      </c>
      <c r="BJ34" s="175">
        <f t="shared" si="20"/>
        <v>-228.01893356706438</v>
      </c>
      <c r="BK34" s="165">
        <f>BJ34*SUM('TABLE 4 - October 2016 Dataset'!F34:H34)</f>
        <v>-68861.717937253445</v>
      </c>
      <c r="BL34" s="94">
        <f t="shared" si="21"/>
        <v>1198842.9462125946</v>
      </c>
      <c r="BM34" s="103"/>
      <c r="BN34" s="179">
        <f t="shared" si="22"/>
        <v>1117312.2662125947</v>
      </c>
      <c r="BO34" s="175">
        <f>BN34/SUM('TABLE 4 - October 2016 Dataset'!F34:H34)</f>
        <v>3699.7094907701812</v>
      </c>
      <c r="BP34" s="175">
        <f t="shared" si="23"/>
        <v>0</v>
      </c>
      <c r="BQ34" s="175">
        <f>BP34*SUM('TABLE 4 - October 2016 Dataset'!F34:H34)</f>
        <v>0</v>
      </c>
      <c r="BR34" s="94">
        <f t="shared" si="24"/>
        <v>1198842.9462125946</v>
      </c>
      <c r="BS34" s="103"/>
      <c r="BT34" s="80">
        <f t="shared" si="25"/>
        <v>1167762.1229248489</v>
      </c>
      <c r="BU34" s="122">
        <f t="shared" si="26"/>
        <v>3866.7619964398973</v>
      </c>
      <c r="BV34" s="264">
        <f t="shared" si="27"/>
        <v>1198842.9462125946</v>
      </c>
      <c r="BW34" s="81">
        <f>BV34/SUM('TABLE 4 - October 2016 Dataset'!F34:H34)</f>
        <v>3969.6786298430284</v>
      </c>
      <c r="BX34" s="264">
        <f t="shared" si="28"/>
        <v>31080.823287745705</v>
      </c>
      <c r="BY34" s="81">
        <f t="shared" si="29"/>
        <v>102.91663340313107</v>
      </c>
      <c r="BZ34" s="269">
        <f t="shared" si="30"/>
        <v>2.6615714517181494E-2</v>
      </c>
      <c r="CA34" s="103"/>
      <c r="CB34" s="80">
        <f>'TABLE 5 - DfE Published Figures'!J33</f>
        <v>1194000</v>
      </c>
      <c r="CC34" s="84">
        <f t="shared" si="31"/>
        <v>5000</v>
      </c>
      <c r="CD34" s="81"/>
      <c r="CE34" s="81"/>
      <c r="CF34" s="81"/>
      <c r="CG34" s="81"/>
      <c r="CH34" s="2"/>
    </row>
    <row r="35" spans="2:86" ht="15.75">
      <c r="B35" s="198">
        <v>3904</v>
      </c>
      <c r="C35" s="60" t="s">
        <v>66</v>
      </c>
      <c r="D35" s="204"/>
      <c r="F35" s="80">
        <v>390</v>
      </c>
      <c r="G35" s="163"/>
      <c r="H35" s="164">
        <v>0</v>
      </c>
      <c r="I35" s="94">
        <f t="shared" si="0"/>
        <v>390</v>
      </c>
      <c r="J35" s="103"/>
      <c r="K35" s="80">
        <v>1285029.2520534801</v>
      </c>
      <c r="L35" s="163"/>
      <c r="M35" s="163"/>
      <c r="N35" s="94">
        <f t="shared" si="1"/>
        <v>1285029.2520534801</v>
      </c>
      <c r="O35" s="103"/>
      <c r="P35" s="80">
        <f>P$76*'TABLE 4 - October 2016 Dataset'!F35</f>
        <v>1071326.0999999999</v>
      </c>
      <c r="Q35" s="160"/>
      <c r="R35" s="161"/>
      <c r="S35" s="162">
        <f t="shared" si="3"/>
        <v>1071326.0999999999</v>
      </c>
      <c r="T35" s="165">
        <f>T$76*'TABLE 4 - October 2016 Dataset'!I35</f>
        <v>8800.0000000000036</v>
      </c>
      <c r="U35" s="165">
        <f>U$76*'TABLE 4 - October 2016 Dataset'!J35</f>
        <v>27424.570024570021</v>
      </c>
      <c r="V35" s="165">
        <f>V$76*'TABLE 4 - October 2016 Dataset'!K35</f>
        <v>0</v>
      </c>
      <c r="W35" s="165">
        <f>W$76*'TABLE 4 - October 2016 Dataset'!L35</f>
        <v>0</v>
      </c>
      <c r="X35" s="165">
        <f>X$76*'TABLE 4 - October 2016 Dataset'!M35</f>
        <v>11339.074550128538</v>
      </c>
      <c r="Y35" s="165">
        <f>Y$76*'TABLE 4 - October 2016 Dataset'!N35</f>
        <v>12993.316195372756</v>
      </c>
      <c r="Z35" s="165">
        <f>Z$76*'TABLE 4 - October 2016 Dataset'!O35</f>
        <v>1203.0848329048847</v>
      </c>
      <c r="AA35" s="165">
        <f>AA$76*'TABLE 4 - October 2016 Dataset'!P35</f>
        <v>8020.5655526992314</v>
      </c>
      <c r="AB35" s="162">
        <f t="shared" si="4"/>
        <v>69780.611155675433</v>
      </c>
      <c r="AC35" s="140">
        <f>AC$76*'TABLE 4 - October 2016 Dataset'!Q35</f>
        <v>62650.586617282905</v>
      </c>
      <c r="AD35" s="140">
        <f>AD$76*'TABLE 4 - October 2016 Dataset'!R35</f>
        <v>16834.248554913294</v>
      </c>
      <c r="AE35" s="140">
        <f>AE$76*'TABLE 4 - October 2016 Dataset'!S35</f>
        <v>0</v>
      </c>
      <c r="AF35" s="140">
        <f t="shared" si="5"/>
        <v>110000</v>
      </c>
      <c r="AG35" s="140">
        <f>IF('TABLE 4 - October 2016 Dataset'!X35="No",0,"*CHECK*")</f>
        <v>0</v>
      </c>
      <c r="AH35" s="140">
        <f>'TABLE 4 - October 2016 Dataset'!Y35</f>
        <v>11342.58</v>
      </c>
      <c r="AI35" s="170">
        <f>IF('TABLE 4 - October 2016 Dataset'!Z35&gt;0,('TABLE 4 - October 2016 Dataset'!Z35*(1+AI$79))-((AI$76*SUM('TABLE 4 - October 2016 Dataset'!F35:H35))+AI$77),0)</f>
        <v>0</v>
      </c>
      <c r="AJ35" s="166" t="str">
        <f>IF('TABLE 4 - October 2016 Dataset'!AA35="Yes",'TABLE 1 - 2018-19 Provisional'!AJ$76*SUM('TABLE 4 - October 2016 Dataset'!F35:H35),"")</f>
        <v/>
      </c>
      <c r="AK35" s="140">
        <f t="shared" si="6"/>
        <v>0</v>
      </c>
      <c r="AL35" s="94">
        <f t="shared" si="7"/>
        <v>1341934.1263278716</v>
      </c>
      <c r="AM35" s="103"/>
      <c r="AN35" s="80">
        <f t="shared" si="8"/>
        <v>1330591.5463278715</v>
      </c>
      <c r="AO35" s="165">
        <f>AN35/SUM('TABLE 4 - October 2016 Dataset'!F35:H35)</f>
        <v>3411.7731957124911</v>
      </c>
      <c r="AP35" s="165">
        <f t="shared" si="2"/>
        <v>0</v>
      </c>
      <c r="AQ35" s="165">
        <f>AP35*SUM('TABLE 4 - October 2016 Dataset'!F35:H35)</f>
        <v>0</v>
      </c>
      <c r="AR35" s="94">
        <f t="shared" si="9"/>
        <v>1341934.1263278716</v>
      </c>
      <c r="AS35" s="103"/>
      <c r="AT35" s="80">
        <f>N35-(AF35+AG35+'TABLE 4 - October 2016 Dataset'!Y35)</f>
        <v>1163686.6720534801</v>
      </c>
      <c r="AU35" s="187">
        <f t="shared" si="10"/>
        <v>1220591.5463278715</v>
      </c>
      <c r="AV35" s="165">
        <f t="shared" si="11"/>
        <v>2983.8119796243077</v>
      </c>
      <c r="AW35" s="165">
        <f>AU35/SUM('TABLE 4 - October 2016 Dataset'!F35:H35)</f>
        <v>3129.7219136612089</v>
      </c>
      <c r="AX35" s="173">
        <f t="shared" si="12"/>
        <v>4.8900512174789412E-2</v>
      </c>
      <c r="AY35" s="173">
        <f t="shared" si="13"/>
        <v>0</v>
      </c>
      <c r="AZ35" s="175">
        <f t="shared" si="14"/>
        <v>0</v>
      </c>
      <c r="BA35" s="165">
        <f>AZ35*SUM('TABLE 4 - October 2016 Dataset'!F35:H35)</f>
        <v>0</v>
      </c>
      <c r="BB35" s="94">
        <f t="shared" si="15"/>
        <v>1341934.1263278716</v>
      </c>
      <c r="BC35" s="103"/>
      <c r="BD35" s="184">
        <f>'TABLE 3 - Target Illustrative'!AR35-(AF35+AG35+AH35)</f>
        <v>1255000</v>
      </c>
      <c r="BE35" s="165">
        <f>BD35/SUM('TABLE 4 - October 2016 Dataset'!F35:H35)</f>
        <v>3217.9487179487178</v>
      </c>
      <c r="BF35" s="173">
        <f t="shared" si="16"/>
        <v>7.8468998691362035E-2</v>
      </c>
      <c r="BG35" s="185">
        <f t="shared" si="17"/>
        <v>1.5693799738272406E-2</v>
      </c>
      <c r="BH35" s="185">
        <f t="shared" si="18"/>
        <v>0.03</v>
      </c>
      <c r="BI35" s="173">
        <f t="shared" si="19"/>
        <v>-1.8900512174789413E-2</v>
      </c>
      <c r="BJ35" s="175">
        <f t="shared" si="20"/>
        <v>-56.395574648171731</v>
      </c>
      <c r="BK35" s="165">
        <f>BJ35*SUM('TABLE 4 - October 2016 Dataset'!F35:H35)</f>
        <v>-21994.274112786974</v>
      </c>
      <c r="BL35" s="94">
        <f t="shared" si="21"/>
        <v>1319939.8522150847</v>
      </c>
      <c r="BM35" s="103"/>
      <c r="BN35" s="179">
        <f t="shared" si="22"/>
        <v>1308597.2722150846</v>
      </c>
      <c r="BO35" s="175">
        <f>BN35/SUM('TABLE 4 - October 2016 Dataset'!F35:H35)</f>
        <v>3355.3776210643196</v>
      </c>
      <c r="BP35" s="175">
        <f t="shared" si="23"/>
        <v>0</v>
      </c>
      <c r="BQ35" s="175">
        <f>BP35*SUM('TABLE 4 - October 2016 Dataset'!F35:H35)</f>
        <v>0</v>
      </c>
      <c r="BR35" s="94">
        <f t="shared" si="24"/>
        <v>1319939.8522150847</v>
      </c>
      <c r="BS35" s="103"/>
      <c r="BT35" s="80">
        <f t="shared" si="25"/>
        <v>1285029.2520534801</v>
      </c>
      <c r="BU35" s="122">
        <f t="shared" si="26"/>
        <v>3294.9468001371283</v>
      </c>
      <c r="BV35" s="264">
        <f t="shared" si="27"/>
        <v>1319939.8522150847</v>
      </c>
      <c r="BW35" s="81">
        <f>BV35/SUM('TABLE 4 - October 2016 Dataset'!F35:H35)</f>
        <v>3384.4611595258584</v>
      </c>
      <c r="BX35" s="264">
        <f t="shared" si="28"/>
        <v>34910.600161604583</v>
      </c>
      <c r="BY35" s="81">
        <f t="shared" si="29"/>
        <v>89.514359388730099</v>
      </c>
      <c r="BZ35" s="269">
        <f t="shared" si="30"/>
        <v>2.716716378698579E-2</v>
      </c>
      <c r="CA35" s="103"/>
      <c r="CB35" s="80">
        <f>'TABLE 5 - DfE Published Figures'!J34</f>
        <v>1320000</v>
      </c>
      <c r="CC35" s="84">
        <f t="shared" si="31"/>
        <v>0</v>
      </c>
      <c r="CD35" s="81"/>
      <c r="CE35" s="81"/>
      <c r="CF35" s="81"/>
      <c r="CG35" s="81"/>
      <c r="CH35" s="2"/>
    </row>
    <row r="36" spans="2:86" ht="15.75">
      <c r="B36" s="198">
        <v>2012</v>
      </c>
      <c r="C36" s="60" t="s">
        <v>43</v>
      </c>
      <c r="D36" s="204" t="s">
        <v>72</v>
      </c>
      <c r="F36" s="80">
        <v>268</v>
      </c>
      <c r="G36" s="163"/>
      <c r="H36" s="164">
        <v>0</v>
      </c>
      <c r="I36" s="94">
        <f t="shared" si="0"/>
        <v>268</v>
      </c>
      <c r="J36" s="103"/>
      <c r="K36" s="80">
        <v>957576.96640124545</v>
      </c>
      <c r="L36" s="163"/>
      <c r="M36" s="163"/>
      <c r="N36" s="94">
        <f t="shared" si="1"/>
        <v>957576.96640124545</v>
      </c>
      <c r="O36" s="103"/>
      <c r="P36" s="80">
        <f>P$76*'TABLE 4 - October 2016 Dataset'!F36</f>
        <v>736193.32</v>
      </c>
      <c r="Q36" s="160"/>
      <c r="R36" s="161"/>
      <c r="S36" s="162">
        <f t="shared" si="3"/>
        <v>736193.32</v>
      </c>
      <c r="T36" s="165">
        <f>T$76*'TABLE 4 - October 2016 Dataset'!I36</f>
        <v>10559.999999999995</v>
      </c>
      <c r="U36" s="165">
        <f>U$76*'TABLE 4 - October 2016 Dataset'!J36</f>
        <v>25026.766917293233</v>
      </c>
      <c r="V36" s="165">
        <f>V$76*'TABLE 4 - October 2016 Dataset'!K36</f>
        <v>0</v>
      </c>
      <c r="W36" s="165">
        <f>W$76*'TABLE 4 - October 2016 Dataset'!L36</f>
        <v>0</v>
      </c>
      <c r="X36" s="165">
        <f>X$76*'TABLE 4 - October 2016 Dataset'!M36</f>
        <v>0</v>
      </c>
      <c r="Y36" s="165">
        <f>Y$76*'TABLE 4 - October 2016 Dataset'!N36</f>
        <v>5781.5730337078649</v>
      </c>
      <c r="Z36" s="165">
        <f>Z$76*'TABLE 4 - October 2016 Dataset'!O36</f>
        <v>0</v>
      </c>
      <c r="AA36" s="165">
        <f>AA$76*'TABLE 4 - October 2016 Dataset'!P36</f>
        <v>10639.700374531832</v>
      </c>
      <c r="AB36" s="162">
        <f t="shared" si="4"/>
        <v>52008.040325532929</v>
      </c>
      <c r="AC36" s="140">
        <f>AC$76*'TABLE 4 - October 2016 Dataset'!Q36</f>
        <v>90250.597152656715</v>
      </c>
      <c r="AD36" s="140">
        <f>AD$76*'TABLE 4 - October 2016 Dataset'!R36</f>
        <v>7869.5614035087683</v>
      </c>
      <c r="AE36" s="140">
        <f>AE$76*'TABLE 4 - October 2016 Dataset'!S36</f>
        <v>0</v>
      </c>
      <c r="AF36" s="140">
        <f t="shared" si="5"/>
        <v>110000</v>
      </c>
      <c r="AG36" s="140">
        <f>IF('TABLE 4 - October 2016 Dataset'!X36="No",0,"*CHECK*")</f>
        <v>0</v>
      </c>
      <c r="AH36" s="140">
        <f>'TABLE 4 - October 2016 Dataset'!Y36</f>
        <v>22460.89</v>
      </c>
      <c r="AI36" s="170">
        <f>IF('TABLE 4 - October 2016 Dataset'!Z36&gt;0,('TABLE 4 - October 2016 Dataset'!Z36*(1+AI$79))-((AI$76*SUM('TABLE 4 - October 2016 Dataset'!F36:H36))+AI$77),0)</f>
        <v>0</v>
      </c>
      <c r="AJ36" s="166" t="str">
        <f>IF('TABLE 4 - October 2016 Dataset'!AA36="Yes",'TABLE 1 - 2018-19 Provisional'!AJ$76*SUM('TABLE 4 - October 2016 Dataset'!F36:H36),"")</f>
        <v/>
      </c>
      <c r="AK36" s="140">
        <f t="shared" si="6"/>
        <v>0</v>
      </c>
      <c r="AL36" s="94">
        <f t="shared" si="7"/>
        <v>1018782.4088816984</v>
      </c>
      <c r="AM36" s="103"/>
      <c r="AN36" s="80">
        <f t="shared" si="8"/>
        <v>996321.51888169837</v>
      </c>
      <c r="AO36" s="165">
        <f>AN36/SUM('TABLE 4 - October 2016 Dataset'!F36:H36)</f>
        <v>3717.6176077675314</v>
      </c>
      <c r="AP36" s="165">
        <f t="shared" si="2"/>
        <v>0</v>
      </c>
      <c r="AQ36" s="165">
        <f>AP36*SUM('TABLE 4 - October 2016 Dataset'!F36:H36)</f>
        <v>0</v>
      </c>
      <c r="AR36" s="94">
        <f t="shared" si="9"/>
        <v>1018782.4088816984</v>
      </c>
      <c r="AS36" s="103"/>
      <c r="AT36" s="80">
        <f>N36-(AF36+AG36+'TABLE 4 - October 2016 Dataset'!Y36)</f>
        <v>825116.07640124543</v>
      </c>
      <c r="AU36" s="187">
        <f t="shared" si="10"/>
        <v>886321.51888169837</v>
      </c>
      <c r="AV36" s="165">
        <f t="shared" si="11"/>
        <v>3078.7913298553935</v>
      </c>
      <c r="AW36" s="165">
        <f>AU36/SUM('TABLE 4 - October 2016 Dataset'!F36:H36)</f>
        <v>3307.1698465735012</v>
      </c>
      <c r="AX36" s="173">
        <f t="shared" si="12"/>
        <v>7.417797838505491E-2</v>
      </c>
      <c r="AY36" s="173">
        <f t="shared" si="13"/>
        <v>0</v>
      </c>
      <c r="AZ36" s="175">
        <f t="shared" si="14"/>
        <v>0</v>
      </c>
      <c r="BA36" s="165">
        <f>AZ36*SUM('TABLE 4 - October 2016 Dataset'!F36:H36)</f>
        <v>0</v>
      </c>
      <c r="BB36" s="94">
        <f t="shared" si="15"/>
        <v>1018782.4088816984</v>
      </c>
      <c r="BC36" s="103"/>
      <c r="BD36" s="184">
        <f>'TABLE 3 - Target Illustrative'!AR36-(AF36+AG36+AH36)</f>
        <v>886321.51888169837</v>
      </c>
      <c r="BE36" s="165">
        <f>BD36/SUM('TABLE 4 - October 2016 Dataset'!F36:H36)</f>
        <v>3307.1698465735012</v>
      </c>
      <c r="BF36" s="173">
        <f t="shared" si="16"/>
        <v>7.417797838505491E-2</v>
      </c>
      <c r="BG36" s="185">
        <f t="shared" si="17"/>
        <v>1.4835595677010982E-2</v>
      </c>
      <c r="BH36" s="185">
        <f t="shared" si="18"/>
        <v>0.03</v>
      </c>
      <c r="BI36" s="173">
        <f t="shared" si="19"/>
        <v>-4.4177978385054911E-2</v>
      </c>
      <c r="BJ36" s="175">
        <f t="shared" si="20"/>
        <v>-136.01477682244604</v>
      </c>
      <c r="BK36" s="165">
        <f>BJ36*SUM('TABLE 4 - October 2016 Dataset'!F36:H36)</f>
        <v>-36451.960188415542</v>
      </c>
      <c r="BL36" s="94">
        <f t="shared" si="21"/>
        <v>982330.4486932829</v>
      </c>
      <c r="BM36" s="103"/>
      <c r="BN36" s="179">
        <f t="shared" si="22"/>
        <v>959869.55869328289</v>
      </c>
      <c r="BO36" s="175">
        <f>BN36/SUM('TABLE 4 - October 2016 Dataset'!F36:H36)</f>
        <v>3581.6028309450853</v>
      </c>
      <c r="BP36" s="175">
        <f t="shared" si="23"/>
        <v>0</v>
      </c>
      <c r="BQ36" s="175">
        <f>BP36*SUM('TABLE 4 - October 2016 Dataset'!F36:H36)</f>
        <v>0</v>
      </c>
      <c r="BR36" s="94">
        <f t="shared" si="24"/>
        <v>982330.4486932829</v>
      </c>
      <c r="BS36" s="103"/>
      <c r="BT36" s="80">
        <f t="shared" si="25"/>
        <v>957576.96640124545</v>
      </c>
      <c r="BU36" s="122">
        <f t="shared" si="26"/>
        <v>3573.0483820941995</v>
      </c>
      <c r="BV36" s="264">
        <f t="shared" si="27"/>
        <v>982330.4486932829</v>
      </c>
      <c r="BW36" s="81">
        <f>BV36/SUM('TABLE 4 - October 2016 Dataset'!F36:H36)</f>
        <v>3665.4121219898616</v>
      </c>
      <c r="BX36" s="264">
        <f t="shared" si="28"/>
        <v>24753.482292037457</v>
      </c>
      <c r="BY36" s="81">
        <f t="shared" si="29"/>
        <v>92.363739895662093</v>
      </c>
      <c r="BZ36" s="269">
        <f t="shared" si="30"/>
        <v>2.585012292543511E-2</v>
      </c>
      <c r="CA36" s="103"/>
      <c r="CB36" s="80">
        <f>'TABLE 5 - DfE Published Figures'!J35</f>
        <v>982000</v>
      </c>
      <c r="CC36" s="84">
        <f t="shared" si="31"/>
        <v>0</v>
      </c>
      <c r="CD36" s="81"/>
      <c r="CE36" s="81"/>
      <c r="CF36" s="81"/>
      <c r="CG36" s="81"/>
      <c r="CH36" s="2"/>
    </row>
    <row r="37" spans="2:86" ht="15.75">
      <c r="B37" s="198">
        <v>2029</v>
      </c>
      <c r="C37" s="60" t="s">
        <v>44</v>
      </c>
      <c r="D37" s="204" t="s">
        <v>71</v>
      </c>
      <c r="F37" s="80">
        <v>436</v>
      </c>
      <c r="G37" s="163"/>
      <c r="H37" s="164">
        <v>0</v>
      </c>
      <c r="I37" s="94">
        <f t="shared" si="0"/>
        <v>436</v>
      </c>
      <c r="J37" s="103"/>
      <c r="K37" s="80">
        <v>1272501.9995508788</v>
      </c>
      <c r="L37" s="163"/>
      <c r="M37" s="163"/>
      <c r="N37" s="94">
        <f t="shared" si="1"/>
        <v>1272501.9995508788</v>
      </c>
      <c r="O37" s="103"/>
      <c r="P37" s="80">
        <f>P$76*'TABLE 4 - October 2016 Dataset'!F37</f>
        <v>1197687.6399999999</v>
      </c>
      <c r="Q37" s="160"/>
      <c r="R37" s="161"/>
      <c r="S37" s="162">
        <f t="shared" si="3"/>
        <v>1197687.6399999999</v>
      </c>
      <c r="T37" s="165">
        <f>T$76*'TABLE 4 - October 2016 Dataset'!I37</f>
        <v>4839.9999999999927</v>
      </c>
      <c r="U37" s="165">
        <f>U$76*'TABLE 4 - October 2016 Dataset'!J37</f>
        <v>9075.9183673469397</v>
      </c>
      <c r="V37" s="165">
        <f>V$76*'TABLE 4 - October 2016 Dataset'!K37</f>
        <v>0</v>
      </c>
      <c r="W37" s="165">
        <f>W$76*'TABLE 4 - October 2016 Dataset'!L37</f>
        <v>0</v>
      </c>
      <c r="X37" s="165">
        <f>X$76*'TABLE 4 - October 2016 Dataset'!M37</f>
        <v>1958.9861751152005</v>
      </c>
      <c r="Y37" s="165">
        <f>Y$76*'TABLE 4 - October 2016 Dataset'!N37</f>
        <v>0</v>
      </c>
      <c r="Z37" s="165">
        <f>Z$76*'TABLE 4 - October 2016 Dataset'!O37</f>
        <v>0</v>
      </c>
      <c r="AA37" s="165">
        <f>AA$76*'TABLE 4 - October 2016 Dataset'!P37</f>
        <v>401.84331797235063</v>
      </c>
      <c r="AB37" s="162">
        <f t="shared" si="4"/>
        <v>16276.747860434483</v>
      </c>
      <c r="AC37" s="140">
        <f>AC$76*'TABLE 4 - October 2016 Dataset'!Q37</f>
        <v>76768.692518874523</v>
      </c>
      <c r="AD37" s="140">
        <f>AD$76*'TABLE 4 - October 2016 Dataset'!R37</f>
        <v>597.18085106383057</v>
      </c>
      <c r="AE37" s="140">
        <f>AE$76*'TABLE 4 - October 2016 Dataset'!S37</f>
        <v>0</v>
      </c>
      <c r="AF37" s="140">
        <f t="shared" si="5"/>
        <v>110000</v>
      </c>
      <c r="AG37" s="140">
        <f>IF('TABLE 4 - October 2016 Dataset'!X37="No",0,"*CHECK*")</f>
        <v>0</v>
      </c>
      <c r="AH37" s="140">
        <f>'TABLE 4 - October 2016 Dataset'!Y37</f>
        <v>3980.41</v>
      </c>
      <c r="AI37" s="170">
        <f>IF('TABLE 4 - October 2016 Dataset'!Z37&gt;0,('TABLE 4 - October 2016 Dataset'!Z37*(1+AI$79))-((AI$76*SUM('TABLE 4 - October 2016 Dataset'!F37:H37))+AI$77),0)</f>
        <v>0</v>
      </c>
      <c r="AJ37" s="166" t="str">
        <f>IF('TABLE 4 - October 2016 Dataset'!AA37="Yes",'TABLE 1 - 2018-19 Provisional'!AJ$76*SUM('TABLE 4 - October 2016 Dataset'!F37:H37),"")</f>
        <v/>
      </c>
      <c r="AK37" s="140">
        <f t="shared" si="6"/>
        <v>0</v>
      </c>
      <c r="AL37" s="94">
        <f t="shared" si="7"/>
        <v>1405310.6712303727</v>
      </c>
      <c r="AM37" s="103"/>
      <c r="AN37" s="80">
        <f t="shared" si="8"/>
        <v>1401330.2612303728</v>
      </c>
      <c r="AO37" s="165">
        <f>AN37/SUM('TABLE 4 - October 2016 Dataset'!F37:H37)</f>
        <v>3214.0602321797542</v>
      </c>
      <c r="AP37" s="165">
        <f t="shared" si="2"/>
        <v>85.939767820245834</v>
      </c>
      <c r="AQ37" s="165">
        <f>AP37*SUM('TABLE 4 - October 2016 Dataset'!F37:H37)</f>
        <v>37469.738769627184</v>
      </c>
      <c r="AR37" s="94">
        <f t="shared" si="9"/>
        <v>1442780.41</v>
      </c>
      <c r="AS37" s="103"/>
      <c r="AT37" s="80">
        <f>N37-(AF37+AG37+'TABLE 4 - October 2016 Dataset'!Y37)</f>
        <v>1158521.5895508789</v>
      </c>
      <c r="AU37" s="187">
        <f t="shared" si="10"/>
        <v>1328800</v>
      </c>
      <c r="AV37" s="165">
        <f t="shared" si="11"/>
        <v>2657.1596090616486</v>
      </c>
      <c r="AW37" s="165">
        <f>AU37/SUM('TABLE 4 - October 2016 Dataset'!F37:H37)</f>
        <v>3047.7064220183488</v>
      </c>
      <c r="AX37" s="173">
        <f t="shared" si="12"/>
        <v>0.14697905674345924</v>
      </c>
      <c r="AY37" s="173">
        <f t="shared" si="13"/>
        <v>0</v>
      </c>
      <c r="AZ37" s="175">
        <f t="shared" si="14"/>
        <v>0</v>
      </c>
      <c r="BA37" s="165">
        <f>AZ37*SUM('TABLE 4 - October 2016 Dataset'!F37:H37)</f>
        <v>0</v>
      </c>
      <c r="BB37" s="94">
        <f t="shared" si="15"/>
        <v>1442780.41</v>
      </c>
      <c r="BC37" s="103"/>
      <c r="BD37" s="184">
        <f>'TABLE 3 - Target Illustrative'!AR37-(AF37+AG37+AH37)</f>
        <v>1416000</v>
      </c>
      <c r="BE37" s="165">
        <f>BD37/SUM('TABLE 4 - October 2016 Dataset'!F37:H37)</f>
        <v>3247.7064220183488</v>
      </c>
      <c r="BF37" s="173">
        <f t="shared" si="16"/>
        <v>0.22224739941958038</v>
      </c>
      <c r="BG37" s="185">
        <f t="shared" si="17"/>
        <v>4.4449479883916079E-2</v>
      </c>
      <c r="BH37" s="185">
        <f t="shared" si="18"/>
        <v>4.4449479883916079E-2</v>
      </c>
      <c r="BI37" s="173">
        <f t="shared" si="19"/>
        <v>-0.10252957685954316</v>
      </c>
      <c r="BJ37" s="175">
        <f t="shared" si="20"/>
        <v>-272.43745036535995</v>
      </c>
      <c r="BK37" s="165">
        <f>BJ37*SUM('TABLE 4 - October 2016 Dataset'!F37:H37)</f>
        <v>-118782.72835929693</v>
      </c>
      <c r="BL37" s="94">
        <f t="shared" si="21"/>
        <v>1323997.681640703</v>
      </c>
      <c r="BM37" s="103"/>
      <c r="BN37" s="179">
        <f t="shared" si="22"/>
        <v>1320017.2716407031</v>
      </c>
      <c r="BO37" s="175">
        <f>BN37/SUM('TABLE 4 - October 2016 Dataset'!F37:H37)</f>
        <v>3027.5625496346402</v>
      </c>
      <c r="BP37" s="175">
        <f t="shared" si="23"/>
        <v>272.43745036535984</v>
      </c>
      <c r="BQ37" s="175">
        <f>BP37*SUM('TABLE 4 - October 2016 Dataset'!F37:H37)</f>
        <v>118782.72835929689</v>
      </c>
      <c r="BR37" s="94">
        <f t="shared" si="24"/>
        <v>1442780.41</v>
      </c>
      <c r="BS37" s="103"/>
      <c r="BT37" s="80">
        <f t="shared" si="25"/>
        <v>1272501.9995508788</v>
      </c>
      <c r="BU37" s="122">
        <f t="shared" si="26"/>
        <v>2918.582567777245</v>
      </c>
      <c r="BV37" s="264">
        <f t="shared" si="27"/>
        <v>1442780.41</v>
      </c>
      <c r="BW37" s="81">
        <f>BV37/SUM('TABLE 4 - October 2016 Dataset'!F37:H37)</f>
        <v>3309.1293807339448</v>
      </c>
      <c r="BX37" s="264">
        <f t="shared" si="28"/>
        <v>170278.41044912115</v>
      </c>
      <c r="BY37" s="81">
        <f t="shared" si="29"/>
        <v>390.5468129566998</v>
      </c>
      <c r="BZ37" s="269">
        <f t="shared" si="30"/>
        <v>0.13381386473987447</v>
      </c>
      <c r="CA37" s="103"/>
      <c r="CB37" s="80">
        <f>'TABLE 5 - DfE Published Figures'!J36</f>
        <v>1439000</v>
      </c>
      <c r="CC37" s="84">
        <f t="shared" si="31"/>
        <v>4000</v>
      </c>
      <c r="CD37" s="81"/>
      <c r="CE37" s="81"/>
      <c r="CF37" s="81"/>
      <c r="CG37" s="81"/>
      <c r="CH37" s="2"/>
    </row>
    <row r="38" spans="2:86" ht="15.75">
      <c r="B38" s="198">
        <v>2014</v>
      </c>
      <c r="C38" s="60" t="s">
        <v>45</v>
      </c>
      <c r="D38" s="204"/>
      <c r="F38" s="80">
        <v>390</v>
      </c>
      <c r="G38" s="163"/>
      <c r="H38" s="164">
        <v>0</v>
      </c>
      <c r="I38" s="94">
        <f t="shared" si="0"/>
        <v>390</v>
      </c>
      <c r="J38" s="103"/>
      <c r="K38" s="80">
        <v>1335983.4944029816</v>
      </c>
      <c r="L38" s="163"/>
      <c r="M38" s="163"/>
      <c r="N38" s="94">
        <f t="shared" si="1"/>
        <v>1335983.4944029816</v>
      </c>
      <c r="O38" s="103"/>
      <c r="P38" s="80">
        <f>P$76*'TABLE 4 - October 2016 Dataset'!F38</f>
        <v>1071326.0999999999</v>
      </c>
      <c r="Q38" s="160"/>
      <c r="R38" s="161"/>
      <c r="S38" s="162">
        <f t="shared" si="3"/>
        <v>1071326.0999999999</v>
      </c>
      <c r="T38" s="165">
        <f>T$76*'TABLE 4 - October 2016 Dataset'!I38</f>
        <v>22440.00000000004</v>
      </c>
      <c r="U38" s="165">
        <f>U$76*'TABLE 4 - October 2016 Dataset'!J38</f>
        <v>43422.680412371134</v>
      </c>
      <c r="V38" s="165">
        <f>V$76*'TABLE 4 - October 2016 Dataset'!K38</f>
        <v>0</v>
      </c>
      <c r="W38" s="165">
        <f>W$76*'TABLE 4 - October 2016 Dataset'!L38</f>
        <v>0</v>
      </c>
      <c r="X38" s="165">
        <f>X$76*'TABLE 4 - October 2016 Dataset'!M38</f>
        <v>26725.581395348763</v>
      </c>
      <c r="Y38" s="165">
        <f>Y$76*'TABLE 4 - October 2016 Dataset'!N38</f>
        <v>1451.1627906976744</v>
      </c>
      <c r="Z38" s="165">
        <f>Z$76*'TABLE 4 - October 2016 Dataset'!O38</f>
        <v>0</v>
      </c>
      <c r="AA38" s="165">
        <f>AA$76*'TABLE 4 - October 2016 Dataset'!P38</f>
        <v>3023.2558139534867</v>
      </c>
      <c r="AB38" s="162">
        <f t="shared" si="4"/>
        <v>97062.680412371104</v>
      </c>
      <c r="AC38" s="140">
        <f>AC$76*'TABLE 4 - October 2016 Dataset'!Q38</f>
        <v>142073.2738063696</v>
      </c>
      <c r="AD38" s="140">
        <f>AD$76*'TABLE 4 - October 2016 Dataset'!R38</f>
        <v>7216.1676646706483</v>
      </c>
      <c r="AE38" s="140">
        <f>AE$76*'TABLE 4 - October 2016 Dataset'!S38</f>
        <v>0</v>
      </c>
      <c r="AF38" s="140">
        <f t="shared" si="5"/>
        <v>110000</v>
      </c>
      <c r="AG38" s="140">
        <f>IF('TABLE 4 - October 2016 Dataset'!X38="No",0,"*CHECK*")</f>
        <v>0</v>
      </c>
      <c r="AH38" s="140">
        <f>'TABLE 4 - October 2016 Dataset'!Y38</f>
        <v>21323.63</v>
      </c>
      <c r="AI38" s="170">
        <f>IF('TABLE 4 - October 2016 Dataset'!Z38&gt;0,('TABLE 4 - October 2016 Dataset'!Z38*(1+AI$79))-((AI$76*SUM('TABLE 4 - October 2016 Dataset'!F38:H38))+AI$77),0)</f>
        <v>0</v>
      </c>
      <c r="AJ38" s="166" t="str">
        <f>IF('TABLE 4 - October 2016 Dataset'!AA38="Yes",'TABLE 1 - 2018-19 Provisional'!AJ$76*SUM('TABLE 4 - October 2016 Dataset'!F38:H38),"")</f>
        <v/>
      </c>
      <c r="AK38" s="140">
        <f t="shared" si="6"/>
        <v>0</v>
      </c>
      <c r="AL38" s="94">
        <f t="shared" si="7"/>
        <v>1449001.8518834112</v>
      </c>
      <c r="AM38" s="103"/>
      <c r="AN38" s="80">
        <f t="shared" si="8"/>
        <v>1427678.2218834113</v>
      </c>
      <c r="AO38" s="165">
        <f>AN38/SUM('TABLE 4 - October 2016 Dataset'!F38:H38)</f>
        <v>3660.7133894446442</v>
      </c>
      <c r="AP38" s="165">
        <f t="shared" si="2"/>
        <v>0</v>
      </c>
      <c r="AQ38" s="165">
        <f>AP38*SUM('TABLE 4 - October 2016 Dataset'!F38:H38)</f>
        <v>0</v>
      </c>
      <c r="AR38" s="94">
        <f t="shared" si="9"/>
        <v>1449001.8518834112</v>
      </c>
      <c r="AS38" s="103"/>
      <c r="AT38" s="80">
        <f>N38-(AF38+AG38+'TABLE 4 - October 2016 Dataset'!Y38)</f>
        <v>1204659.8644029815</v>
      </c>
      <c r="AU38" s="187">
        <f t="shared" si="10"/>
        <v>1317678.2218834111</v>
      </c>
      <c r="AV38" s="165">
        <f t="shared" si="11"/>
        <v>3088.8714471871322</v>
      </c>
      <c r="AW38" s="165">
        <f>AU38/SUM('TABLE 4 - October 2016 Dataset'!F38:H38)</f>
        <v>3378.6621073933616</v>
      </c>
      <c r="AX38" s="173">
        <f t="shared" si="12"/>
        <v>9.3817649960838079E-2</v>
      </c>
      <c r="AY38" s="173">
        <f t="shared" si="13"/>
        <v>0</v>
      </c>
      <c r="AZ38" s="175">
        <f t="shared" si="14"/>
        <v>0</v>
      </c>
      <c r="BA38" s="165">
        <f>AZ38*SUM('TABLE 4 - October 2016 Dataset'!F38:H38)</f>
        <v>0</v>
      </c>
      <c r="BB38" s="94">
        <f t="shared" si="15"/>
        <v>1449001.8518834112</v>
      </c>
      <c r="BC38" s="103"/>
      <c r="BD38" s="184">
        <f>'TABLE 3 - Target Illustrative'!AR38-(AF38+AG38+AH38)</f>
        <v>1317678.2218834111</v>
      </c>
      <c r="BE38" s="165">
        <f>BD38/SUM('TABLE 4 - October 2016 Dataset'!F38:H38)</f>
        <v>3378.6621073933616</v>
      </c>
      <c r="BF38" s="173">
        <f t="shared" si="16"/>
        <v>9.3817649960838079E-2</v>
      </c>
      <c r="BG38" s="185">
        <f t="shared" si="17"/>
        <v>1.8763529992167616E-2</v>
      </c>
      <c r="BH38" s="185">
        <f t="shared" si="18"/>
        <v>0.03</v>
      </c>
      <c r="BI38" s="173">
        <f t="shared" si="19"/>
        <v>-6.381764996083808E-2</v>
      </c>
      <c r="BJ38" s="175">
        <f t="shared" si="20"/>
        <v>-197.12451679061576</v>
      </c>
      <c r="BK38" s="165">
        <f>BJ38*SUM('TABLE 4 - October 2016 Dataset'!F38:H38)</f>
        <v>-76878.561548340149</v>
      </c>
      <c r="BL38" s="94">
        <f t="shared" si="21"/>
        <v>1372123.290335071</v>
      </c>
      <c r="BM38" s="103"/>
      <c r="BN38" s="179">
        <f t="shared" si="22"/>
        <v>1350799.6603350712</v>
      </c>
      <c r="BO38" s="175">
        <f>BN38/SUM('TABLE 4 - October 2016 Dataset'!F38:H38)</f>
        <v>3463.5888726540288</v>
      </c>
      <c r="BP38" s="175">
        <f t="shared" si="23"/>
        <v>0</v>
      </c>
      <c r="BQ38" s="175">
        <f>BP38*SUM('TABLE 4 - October 2016 Dataset'!F38:H38)</f>
        <v>0</v>
      </c>
      <c r="BR38" s="94">
        <f t="shared" si="24"/>
        <v>1372123.290335071</v>
      </c>
      <c r="BS38" s="103"/>
      <c r="BT38" s="80">
        <f t="shared" si="25"/>
        <v>1335983.4944029816</v>
      </c>
      <c r="BU38" s="122">
        <f t="shared" si="26"/>
        <v>3425.5987035973885</v>
      </c>
      <c r="BV38" s="264">
        <f t="shared" si="27"/>
        <v>1372123.290335071</v>
      </c>
      <c r="BW38" s="81">
        <f>BV38/SUM('TABLE 4 - October 2016 Dataset'!F38:H38)</f>
        <v>3518.2648470130025</v>
      </c>
      <c r="BX38" s="264">
        <f t="shared" si="28"/>
        <v>36139.795932089444</v>
      </c>
      <c r="BY38" s="81">
        <f t="shared" si="29"/>
        <v>92.666143415613988</v>
      </c>
      <c r="BZ38" s="269">
        <f t="shared" si="30"/>
        <v>2.705107966041111E-2</v>
      </c>
      <c r="CA38" s="103"/>
      <c r="CB38" s="80">
        <f>'TABLE 5 - DfE Published Figures'!J37</f>
        <v>1357000</v>
      </c>
      <c r="CC38" s="84">
        <f t="shared" si="31"/>
        <v>15000</v>
      </c>
      <c r="CD38" s="81"/>
      <c r="CE38" s="81"/>
      <c r="CF38" s="81"/>
      <c r="CG38" s="81"/>
      <c r="CH38" s="2"/>
    </row>
    <row r="39" spans="2:86" ht="15.75">
      <c r="B39" s="198">
        <v>2058</v>
      </c>
      <c r="C39" s="60" t="s">
        <v>46</v>
      </c>
      <c r="D39" s="204"/>
      <c r="F39" s="80">
        <v>325</v>
      </c>
      <c r="G39" s="163"/>
      <c r="H39" s="164">
        <v>-2</v>
      </c>
      <c r="I39" s="94">
        <f t="shared" si="0"/>
        <v>323</v>
      </c>
      <c r="J39" s="103"/>
      <c r="K39" s="80">
        <v>1008878.2405584425</v>
      </c>
      <c r="L39" s="163"/>
      <c r="M39" s="163"/>
      <c r="N39" s="94">
        <f t="shared" si="1"/>
        <v>1008878.2405584425</v>
      </c>
      <c r="O39" s="103"/>
      <c r="P39" s="80">
        <f>P$76*'TABLE 4 - October 2016 Dataset'!F39</f>
        <v>887277.7699999999</v>
      </c>
      <c r="Q39" s="160"/>
      <c r="R39" s="161"/>
      <c r="S39" s="162">
        <f t="shared" si="3"/>
        <v>887277.7699999999</v>
      </c>
      <c r="T39" s="165">
        <f>T$76*'TABLE 4 - October 2016 Dataset'!I39</f>
        <v>2199.9999999999986</v>
      </c>
      <c r="U39" s="165">
        <f>U$76*'TABLE 4 - October 2016 Dataset'!J39</f>
        <v>7583.478260869565</v>
      </c>
      <c r="V39" s="165">
        <f>V$76*'TABLE 4 - October 2016 Dataset'!K39</f>
        <v>0</v>
      </c>
      <c r="W39" s="165">
        <f>W$76*'TABLE 4 - October 2016 Dataset'!L39</f>
        <v>0</v>
      </c>
      <c r="X39" s="165">
        <f>X$76*'TABLE 4 - October 2016 Dataset'!M39</f>
        <v>392.42990654205624</v>
      </c>
      <c r="Y39" s="165">
        <f>Y$76*'TABLE 4 - October 2016 Dataset'!N39</f>
        <v>0</v>
      </c>
      <c r="Z39" s="165">
        <f>Z$76*'TABLE 4 - October 2016 Dataset'!O39</f>
        <v>482.99065420560771</v>
      </c>
      <c r="AA39" s="165">
        <f>AA$76*'TABLE 4 - October 2016 Dataset'!P39</f>
        <v>1006.2305295950129</v>
      </c>
      <c r="AB39" s="162">
        <f t="shared" si="4"/>
        <v>11665.129351212241</v>
      </c>
      <c r="AC39" s="140">
        <f>AC$76*'TABLE 4 - October 2016 Dataset'!Q39</f>
        <v>84304.466352145202</v>
      </c>
      <c r="AD39" s="140">
        <f>AD$76*'TABLE 4 - October 2016 Dataset'!R39</f>
        <v>4249.6897810219061</v>
      </c>
      <c r="AE39" s="140">
        <f>AE$76*'TABLE 4 - October 2016 Dataset'!S39</f>
        <v>0</v>
      </c>
      <c r="AF39" s="140">
        <f t="shared" si="5"/>
        <v>110000</v>
      </c>
      <c r="AG39" s="140">
        <f>IF('TABLE 4 - October 2016 Dataset'!X39="No",0,"*CHECK*")</f>
        <v>0</v>
      </c>
      <c r="AH39" s="140">
        <f>'TABLE 4 - October 2016 Dataset'!Y39</f>
        <v>18906.95</v>
      </c>
      <c r="AI39" s="170">
        <f>IF('TABLE 4 - October 2016 Dataset'!Z39&gt;0,('TABLE 4 - October 2016 Dataset'!Z39*(1+AI$79))-((AI$76*SUM('TABLE 4 - October 2016 Dataset'!F39:H39))+AI$77),0)</f>
        <v>0</v>
      </c>
      <c r="AJ39" s="166" t="str">
        <f>IF('TABLE 4 - October 2016 Dataset'!AA39="Yes",'TABLE 1 - 2018-19 Provisional'!AJ$76*SUM('TABLE 4 - October 2016 Dataset'!F39:H39),"")</f>
        <v/>
      </c>
      <c r="AK39" s="140">
        <f t="shared" si="6"/>
        <v>0</v>
      </c>
      <c r="AL39" s="94">
        <f t="shared" si="7"/>
        <v>1116404.0054843791</v>
      </c>
      <c r="AM39" s="103"/>
      <c r="AN39" s="80">
        <f t="shared" si="8"/>
        <v>1097497.0554843792</v>
      </c>
      <c r="AO39" s="165">
        <f>AN39/SUM('TABLE 4 - October 2016 Dataset'!F39:H39)</f>
        <v>3397.8237011900283</v>
      </c>
      <c r="AP39" s="165">
        <f t="shared" si="2"/>
        <v>0</v>
      </c>
      <c r="AQ39" s="165">
        <f>AP39*SUM('TABLE 4 - October 2016 Dataset'!F39:H39)</f>
        <v>0</v>
      </c>
      <c r="AR39" s="94">
        <f t="shared" si="9"/>
        <v>1116404.0054843791</v>
      </c>
      <c r="AS39" s="103"/>
      <c r="AT39" s="80">
        <f>N39-(AF39+AG39+'TABLE 4 - October 2016 Dataset'!Y39)</f>
        <v>879971.29055844259</v>
      </c>
      <c r="AU39" s="187">
        <f t="shared" si="10"/>
        <v>987497.05548437918</v>
      </c>
      <c r="AV39" s="165">
        <f t="shared" si="11"/>
        <v>2724.3693206143735</v>
      </c>
      <c r="AW39" s="165">
        <f>AU39/SUM('TABLE 4 - October 2016 Dataset'!F39:H39)</f>
        <v>3057.2664256482326</v>
      </c>
      <c r="AX39" s="173">
        <f t="shared" si="12"/>
        <v>0.12219235568208031</v>
      </c>
      <c r="AY39" s="173">
        <f t="shared" si="13"/>
        <v>0</v>
      </c>
      <c r="AZ39" s="175">
        <f t="shared" si="14"/>
        <v>0</v>
      </c>
      <c r="BA39" s="165">
        <f>AZ39*SUM('TABLE 4 - October 2016 Dataset'!F39:H39)</f>
        <v>0</v>
      </c>
      <c r="BB39" s="94">
        <f t="shared" si="15"/>
        <v>1116404.0054843791</v>
      </c>
      <c r="BC39" s="103"/>
      <c r="BD39" s="184">
        <f>'TABLE 3 - Target Illustrative'!AR39-(AF39+AG39+AH39)</f>
        <v>1020500</v>
      </c>
      <c r="BE39" s="165">
        <f>BD39/SUM('TABLE 4 - October 2016 Dataset'!F39:H39)</f>
        <v>3159.4427244582043</v>
      </c>
      <c r="BF39" s="173">
        <f t="shared" si="16"/>
        <v>0.15969692528534174</v>
      </c>
      <c r="BG39" s="185">
        <f t="shared" si="17"/>
        <v>3.1939385057068351E-2</v>
      </c>
      <c r="BH39" s="185">
        <f t="shared" si="18"/>
        <v>3.1939385057068351E-2</v>
      </c>
      <c r="BI39" s="173">
        <f t="shared" si="19"/>
        <v>-9.0252970625011961E-2</v>
      </c>
      <c r="BJ39" s="175">
        <f t="shared" si="20"/>
        <v>-245.88242426509285</v>
      </c>
      <c r="BK39" s="165">
        <f>BJ39*SUM('TABLE 4 - October 2016 Dataset'!F39:H39)</f>
        <v>-79420.023037624997</v>
      </c>
      <c r="BL39" s="94">
        <f t="shared" si="21"/>
        <v>1036983.9824467541</v>
      </c>
      <c r="BM39" s="103"/>
      <c r="BN39" s="179">
        <f t="shared" si="22"/>
        <v>1018077.0324467542</v>
      </c>
      <c r="BO39" s="175">
        <f>BN39/SUM('TABLE 4 - October 2016 Dataset'!F39:H39)</f>
        <v>3151.9412769249357</v>
      </c>
      <c r="BP39" s="175">
        <f t="shared" si="23"/>
        <v>148.05872307506434</v>
      </c>
      <c r="BQ39" s="175">
        <f>BP39*SUM('TABLE 4 - October 2016 Dataset'!F39:H39)</f>
        <v>47822.967553245777</v>
      </c>
      <c r="BR39" s="94">
        <f t="shared" si="24"/>
        <v>1084806.95</v>
      </c>
      <c r="BS39" s="103"/>
      <c r="BT39" s="80">
        <f t="shared" si="25"/>
        <v>1008878.2405584425</v>
      </c>
      <c r="BU39" s="122">
        <f t="shared" si="26"/>
        <v>3123.4620450725774</v>
      </c>
      <c r="BV39" s="264">
        <f t="shared" si="27"/>
        <v>1084806.95</v>
      </c>
      <c r="BW39" s="81">
        <f>BV39/SUM('TABLE 4 - October 2016 Dataset'!F39:H39)</f>
        <v>3358.5354489164083</v>
      </c>
      <c r="BX39" s="264">
        <f t="shared" si="28"/>
        <v>75928.70944155741</v>
      </c>
      <c r="BY39" s="81">
        <f t="shared" si="29"/>
        <v>235.07340384383087</v>
      </c>
      <c r="BZ39" s="269">
        <f t="shared" si="30"/>
        <v>7.5260528366167048E-2</v>
      </c>
      <c r="CA39" s="103"/>
      <c r="CB39" s="80">
        <f>'TABLE 5 - DfE Published Figures'!J38</f>
        <v>1085000</v>
      </c>
      <c r="CC39" s="84">
        <f t="shared" si="31"/>
        <v>0</v>
      </c>
      <c r="CD39" s="81"/>
      <c r="CE39" s="81"/>
      <c r="CF39" s="81"/>
      <c r="CG39" s="81"/>
      <c r="CH39" s="2"/>
    </row>
    <row r="40" spans="2:86" ht="15.75">
      <c r="B40" s="198">
        <v>3212</v>
      </c>
      <c r="C40" s="60" t="s">
        <v>47</v>
      </c>
      <c r="D40" s="204" t="s">
        <v>72</v>
      </c>
      <c r="F40" s="80">
        <v>601</v>
      </c>
      <c r="G40" s="163"/>
      <c r="H40" s="164">
        <v>-3</v>
      </c>
      <c r="I40" s="94">
        <f t="shared" si="0"/>
        <v>598</v>
      </c>
      <c r="J40" s="103"/>
      <c r="K40" s="80">
        <v>1782556.8801418711</v>
      </c>
      <c r="L40" s="163"/>
      <c r="M40" s="163"/>
      <c r="N40" s="94">
        <f t="shared" si="1"/>
        <v>1782556.8801418711</v>
      </c>
      <c r="O40" s="103"/>
      <c r="P40" s="80">
        <f>P$76*'TABLE 4 - October 2016 Dataset'!F40</f>
        <v>1642700.0199999998</v>
      </c>
      <c r="Q40" s="160"/>
      <c r="R40" s="161"/>
      <c r="S40" s="162">
        <f t="shared" si="3"/>
        <v>1642700.0199999998</v>
      </c>
      <c r="T40" s="165">
        <f>T$76*'TABLE 4 - October 2016 Dataset'!I40</f>
        <v>7040.0000000000091</v>
      </c>
      <c r="U40" s="165">
        <f>U$76*'TABLE 4 - October 2016 Dataset'!J40</f>
        <v>20816.330578512396</v>
      </c>
      <c r="V40" s="165">
        <f>V$76*'TABLE 4 - October 2016 Dataset'!K40</f>
        <v>0</v>
      </c>
      <c r="W40" s="165">
        <f>W$76*'TABLE 4 - October 2016 Dataset'!L40</f>
        <v>844.23529411764821</v>
      </c>
      <c r="X40" s="165">
        <f>X$76*'TABLE 4 - October 2016 Dataset'!M40</f>
        <v>0</v>
      </c>
      <c r="Y40" s="165">
        <f>Y$76*'TABLE 4 - October 2016 Dataset'!N40</f>
        <v>361.81512605041951</v>
      </c>
      <c r="Z40" s="165">
        <f>Z$76*'TABLE 4 - October 2016 Dataset'!O40</f>
        <v>241.21008403361301</v>
      </c>
      <c r="AA40" s="165">
        <f>AA$76*'TABLE 4 - October 2016 Dataset'!P40</f>
        <v>402.01680672268958</v>
      </c>
      <c r="AB40" s="162">
        <f t="shared" si="4"/>
        <v>29705.607889436775</v>
      </c>
      <c r="AC40" s="140">
        <f>AC$76*'TABLE 4 - October 2016 Dataset'!Q40</f>
        <v>171446.65822784809</v>
      </c>
      <c r="AD40" s="140">
        <f>AD$76*'TABLE 4 - October 2016 Dataset'!R40</f>
        <v>11339.980620155042</v>
      </c>
      <c r="AE40" s="140">
        <f>AE$76*'TABLE 4 - October 2016 Dataset'!S40</f>
        <v>0</v>
      </c>
      <c r="AF40" s="140">
        <f t="shared" si="5"/>
        <v>110000</v>
      </c>
      <c r="AG40" s="140">
        <f>IF('TABLE 4 - October 2016 Dataset'!X40="No",0,"*CHECK*")</f>
        <v>0</v>
      </c>
      <c r="AH40" s="140">
        <f>'TABLE 4 - October 2016 Dataset'!Y40</f>
        <v>13344</v>
      </c>
      <c r="AI40" s="170">
        <f>IF('TABLE 4 - October 2016 Dataset'!Z40&gt;0,('TABLE 4 - October 2016 Dataset'!Z40*(1+AI$79))-((AI$76*SUM('TABLE 4 - October 2016 Dataset'!F40:H40))+AI$77),0)</f>
        <v>0</v>
      </c>
      <c r="AJ40" s="166" t="str">
        <f>IF('TABLE 4 - October 2016 Dataset'!AA40="Yes",'TABLE 1 - 2018-19 Provisional'!AJ$76*SUM('TABLE 4 - October 2016 Dataset'!F40:H40),"")</f>
        <v/>
      </c>
      <c r="AK40" s="140">
        <f t="shared" si="6"/>
        <v>0</v>
      </c>
      <c r="AL40" s="94">
        <f t="shared" si="7"/>
        <v>1978536.2667374399</v>
      </c>
      <c r="AM40" s="103"/>
      <c r="AN40" s="80">
        <f t="shared" si="8"/>
        <v>1965192.2667374399</v>
      </c>
      <c r="AO40" s="165">
        <f>AN40/SUM('TABLE 4 - October 2016 Dataset'!F40:H40)</f>
        <v>3286.2746935408695</v>
      </c>
      <c r="AP40" s="165">
        <f t="shared" si="2"/>
        <v>13.725306459130479</v>
      </c>
      <c r="AQ40" s="165">
        <f>AP40*SUM('TABLE 4 - October 2016 Dataset'!F40:H40)</f>
        <v>8207.7332625600266</v>
      </c>
      <c r="AR40" s="94">
        <f t="shared" si="9"/>
        <v>1986744</v>
      </c>
      <c r="AS40" s="103"/>
      <c r="AT40" s="80">
        <f>N40-(AF40+AG40+'TABLE 4 - October 2016 Dataset'!Y40)</f>
        <v>1659212.8801418711</v>
      </c>
      <c r="AU40" s="187">
        <f t="shared" si="10"/>
        <v>1863400</v>
      </c>
      <c r="AV40" s="165">
        <f t="shared" si="11"/>
        <v>2774.6034784981121</v>
      </c>
      <c r="AW40" s="165">
        <f>AU40/SUM('TABLE 4 - October 2016 Dataset'!F40:H40)</f>
        <v>3116.0535117056857</v>
      </c>
      <c r="AX40" s="173">
        <f t="shared" si="12"/>
        <v>0.12306264151027446</v>
      </c>
      <c r="AY40" s="173">
        <f t="shared" si="13"/>
        <v>0</v>
      </c>
      <c r="AZ40" s="175">
        <f t="shared" si="14"/>
        <v>0</v>
      </c>
      <c r="BA40" s="165">
        <f>AZ40*SUM('TABLE 4 - October 2016 Dataset'!F40:H40)</f>
        <v>0</v>
      </c>
      <c r="BB40" s="94">
        <f t="shared" si="15"/>
        <v>1986744</v>
      </c>
      <c r="BC40" s="103"/>
      <c r="BD40" s="184">
        <f>'TABLE 3 - Target Illustrative'!AR40-(AF40+AG40+AH40)</f>
        <v>1983000</v>
      </c>
      <c r="BE40" s="165">
        <f>BD40/SUM('TABLE 4 - October 2016 Dataset'!F40:H40)</f>
        <v>3316.0535117056857</v>
      </c>
      <c r="BF40" s="173">
        <f t="shared" si="16"/>
        <v>0.1951450134779833</v>
      </c>
      <c r="BG40" s="185">
        <f t="shared" si="17"/>
        <v>3.9029002695596664E-2</v>
      </c>
      <c r="BH40" s="185">
        <f t="shared" si="18"/>
        <v>3.9029002695596664E-2</v>
      </c>
      <c r="BI40" s="173">
        <f t="shared" si="19"/>
        <v>-8.4033638814677791E-2</v>
      </c>
      <c r="BJ40" s="175">
        <f t="shared" si="20"/>
        <v>-233.16002656605897</v>
      </c>
      <c r="BK40" s="165">
        <f>BJ40*SUM('TABLE 4 - October 2016 Dataset'!F40:H40)</f>
        <v>-139429.69588650326</v>
      </c>
      <c r="BL40" s="94">
        <f t="shared" si="21"/>
        <v>1847314.3041134968</v>
      </c>
      <c r="BM40" s="103"/>
      <c r="BN40" s="179">
        <f t="shared" si="22"/>
        <v>1833970.3041134968</v>
      </c>
      <c r="BO40" s="175">
        <f>BN40/SUM('TABLE 4 - October 2016 Dataset'!F40:H40)</f>
        <v>3066.8399734339409</v>
      </c>
      <c r="BP40" s="175">
        <f t="shared" si="23"/>
        <v>233.16002656605906</v>
      </c>
      <c r="BQ40" s="175">
        <f>BP40*SUM('TABLE 4 - October 2016 Dataset'!F40:H40)</f>
        <v>139429.69588650332</v>
      </c>
      <c r="BR40" s="94">
        <f t="shared" si="24"/>
        <v>1986744</v>
      </c>
      <c r="BS40" s="103"/>
      <c r="BT40" s="80">
        <f t="shared" si="25"/>
        <v>1782556.8801418711</v>
      </c>
      <c r="BU40" s="122">
        <f t="shared" si="26"/>
        <v>2980.8643480633295</v>
      </c>
      <c r="BV40" s="264">
        <f t="shared" si="27"/>
        <v>1986744</v>
      </c>
      <c r="BW40" s="81">
        <f>BV40/SUM('TABLE 4 - October 2016 Dataset'!F40:H40)</f>
        <v>3322.3143812709031</v>
      </c>
      <c r="BX40" s="264">
        <f t="shared" si="28"/>
        <v>204187.11985812895</v>
      </c>
      <c r="BY40" s="81">
        <f t="shared" si="29"/>
        <v>341.4500332075736</v>
      </c>
      <c r="BZ40" s="269">
        <f t="shared" si="30"/>
        <v>0.11454732364101507</v>
      </c>
      <c r="CA40" s="103"/>
      <c r="CB40" s="80">
        <f>'TABLE 5 - DfE Published Figures'!J39</f>
        <v>1973000</v>
      </c>
      <c r="CC40" s="84">
        <f t="shared" si="31"/>
        <v>14000</v>
      </c>
      <c r="CD40" s="81"/>
      <c r="CE40" s="81"/>
      <c r="CF40" s="81"/>
      <c r="CG40" s="81"/>
      <c r="CH40" s="2"/>
    </row>
    <row r="41" spans="2:86" ht="15.75">
      <c r="B41" s="198">
        <v>2349</v>
      </c>
      <c r="C41" s="60" t="s">
        <v>48</v>
      </c>
      <c r="D41" s="204"/>
      <c r="F41" s="80">
        <v>93</v>
      </c>
      <c r="G41" s="163"/>
      <c r="H41" s="164">
        <v>0</v>
      </c>
      <c r="I41" s="94">
        <f t="shared" si="0"/>
        <v>93</v>
      </c>
      <c r="J41" s="103"/>
      <c r="K41" s="80">
        <v>427251.78980446298</v>
      </c>
      <c r="L41" s="163"/>
      <c r="M41" s="163"/>
      <c r="N41" s="94">
        <f t="shared" si="1"/>
        <v>427251.78980446298</v>
      </c>
      <c r="O41" s="103"/>
      <c r="P41" s="80">
        <f>P$76*'TABLE 4 - October 2016 Dataset'!F41</f>
        <v>255470.06999999998</v>
      </c>
      <c r="Q41" s="160"/>
      <c r="R41" s="161"/>
      <c r="S41" s="162">
        <f t="shared" si="3"/>
        <v>255470.06999999998</v>
      </c>
      <c r="T41" s="165">
        <f>T$76*'TABLE 4 - October 2016 Dataset'!I41</f>
        <v>2640.0000000000014</v>
      </c>
      <c r="U41" s="165">
        <f>U$76*'TABLE 4 - October 2016 Dataset'!J41</f>
        <v>3362.3684210526349</v>
      </c>
      <c r="V41" s="165">
        <f>V$76*'TABLE 4 - October 2016 Dataset'!K41</f>
        <v>0</v>
      </c>
      <c r="W41" s="165">
        <f>W$76*'TABLE 4 - October 2016 Dataset'!L41</f>
        <v>0</v>
      </c>
      <c r="X41" s="165">
        <f>X$76*'TABLE 4 - October 2016 Dataset'!M41</f>
        <v>0</v>
      </c>
      <c r="Y41" s="165">
        <f>Y$76*'TABLE 4 - October 2016 Dataset'!N41</f>
        <v>1439.9999999999986</v>
      </c>
      <c r="Z41" s="165">
        <f>Z$76*'TABLE 4 - October 2016 Dataset'!O41</f>
        <v>0</v>
      </c>
      <c r="AA41" s="165">
        <f>AA$76*'TABLE 4 - October 2016 Dataset'!P41</f>
        <v>1000.0000000000009</v>
      </c>
      <c r="AB41" s="162">
        <f t="shared" si="4"/>
        <v>8442.3684210526371</v>
      </c>
      <c r="AC41" s="140">
        <f>AC$76*'TABLE 4 - October 2016 Dataset'!Q41</f>
        <v>18541.139240506342</v>
      </c>
      <c r="AD41" s="140">
        <f>AD$76*'TABLE 4 - October 2016 Dataset'!R41</f>
        <v>0</v>
      </c>
      <c r="AE41" s="140">
        <f>AE$76*'TABLE 4 - October 2016 Dataset'!S41</f>
        <v>2630.6999999999898</v>
      </c>
      <c r="AF41" s="140">
        <f t="shared" si="5"/>
        <v>110000</v>
      </c>
      <c r="AG41" s="140">
        <f>IF('TABLE 4 - October 2016 Dataset'!X41="No",0,"*CHECK*")</f>
        <v>0</v>
      </c>
      <c r="AH41" s="140">
        <f>'TABLE 4 - October 2016 Dataset'!Y41</f>
        <v>7676.51</v>
      </c>
      <c r="AI41" s="170">
        <f>IF('TABLE 4 - October 2016 Dataset'!Z41&gt;0,('TABLE 4 - October 2016 Dataset'!Z41*(1+AI$79))-((AI$76*SUM('TABLE 4 - October 2016 Dataset'!F41:H41))+AI$77),0)</f>
        <v>0</v>
      </c>
      <c r="AJ41" s="166" t="str">
        <f>IF('TABLE 4 - October 2016 Dataset'!AA41="Yes",'TABLE 1 - 2018-19 Provisional'!AJ$76*SUM('TABLE 4 - October 2016 Dataset'!F41:H41),"")</f>
        <v/>
      </c>
      <c r="AK41" s="140">
        <f t="shared" si="6"/>
        <v>0</v>
      </c>
      <c r="AL41" s="94">
        <f t="shared" si="7"/>
        <v>402760.78766155895</v>
      </c>
      <c r="AM41" s="103"/>
      <c r="AN41" s="80">
        <f t="shared" si="8"/>
        <v>395084.27766155894</v>
      </c>
      <c r="AO41" s="165">
        <f>AN41/SUM('TABLE 4 - October 2016 Dataset'!F41:H41)</f>
        <v>4248.2180393716017</v>
      </c>
      <c r="AP41" s="165">
        <f t="shared" si="2"/>
        <v>0</v>
      </c>
      <c r="AQ41" s="165">
        <f>AP41*SUM('TABLE 4 - October 2016 Dataset'!F41:H41)</f>
        <v>0</v>
      </c>
      <c r="AR41" s="94">
        <f t="shared" si="9"/>
        <v>402760.78766155895</v>
      </c>
      <c r="AS41" s="103"/>
      <c r="AT41" s="80">
        <f>N41-(AF41+AG41+'TABLE 4 - October 2016 Dataset'!Y41)</f>
        <v>309575.27980446297</v>
      </c>
      <c r="AU41" s="187">
        <f t="shared" si="10"/>
        <v>285084.27766155894</v>
      </c>
      <c r="AV41" s="165">
        <f t="shared" si="11"/>
        <v>3328.7664495103545</v>
      </c>
      <c r="AW41" s="165">
        <f>AU41/SUM('TABLE 4 - October 2016 Dataset'!F41:H41)</f>
        <v>3065.4223404468703</v>
      </c>
      <c r="AX41" s="173">
        <f t="shared" si="12"/>
        <v>-7.911162079340861E-2</v>
      </c>
      <c r="AY41" s="173">
        <f t="shared" si="13"/>
        <v>8.4111620793408615E-2</v>
      </c>
      <c r="AZ41" s="175">
        <f t="shared" si="14"/>
        <v>279.98794131103608</v>
      </c>
      <c r="BA41" s="165">
        <f>AZ41*SUM('TABLE 4 - October 2016 Dataset'!F41:H41)</f>
        <v>26038.878541926355</v>
      </c>
      <c r="BB41" s="94">
        <f t="shared" si="15"/>
        <v>428799.66620348528</v>
      </c>
      <c r="BC41" s="103"/>
      <c r="BD41" s="184">
        <f>'TABLE 3 - Target Illustrative'!AR41-(AF41+AG41+AH41)</f>
        <v>285084.27766155894</v>
      </c>
      <c r="BE41" s="165">
        <f>BD41/SUM('TABLE 4 - October 2016 Dataset'!F41:H41)</f>
        <v>3065.4223404468703</v>
      </c>
      <c r="BF41" s="173">
        <f t="shared" si="16"/>
        <v>-7.911162079340861E-2</v>
      </c>
      <c r="BG41" s="185" t="str">
        <f t="shared" si="17"/>
        <v xml:space="preserve">            NA</v>
      </c>
      <c r="BH41" s="185">
        <f t="shared" si="18"/>
        <v>5.0000000000000001E-3</v>
      </c>
      <c r="BI41" s="173">
        <f t="shared" si="19"/>
        <v>0</v>
      </c>
      <c r="BJ41" s="175">
        <f t="shared" si="20"/>
        <v>0</v>
      </c>
      <c r="BK41" s="165">
        <f>BJ41*SUM('TABLE 4 - October 2016 Dataset'!F41:H41)</f>
        <v>0</v>
      </c>
      <c r="BL41" s="94">
        <f t="shared" si="21"/>
        <v>428799.66620348528</v>
      </c>
      <c r="BM41" s="103"/>
      <c r="BN41" s="179">
        <f t="shared" si="22"/>
        <v>421123.15620348527</v>
      </c>
      <c r="BO41" s="175">
        <f>BN41/SUM('TABLE 4 - October 2016 Dataset'!F41:H41)</f>
        <v>4528.2059806826373</v>
      </c>
      <c r="BP41" s="175">
        <f t="shared" si="23"/>
        <v>0</v>
      </c>
      <c r="BQ41" s="175">
        <f>BP41*SUM('TABLE 4 - October 2016 Dataset'!F41:H41)</f>
        <v>0</v>
      </c>
      <c r="BR41" s="94">
        <f t="shared" si="24"/>
        <v>428799.66620348528</v>
      </c>
      <c r="BS41" s="103"/>
      <c r="BT41" s="80">
        <f t="shared" si="25"/>
        <v>427251.78980446298</v>
      </c>
      <c r="BU41" s="122">
        <f t="shared" si="26"/>
        <v>4594.105266714656</v>
      </c>
      <c r="BV41" s="264">
        <f t="shared" si="27"/>
        <v>428799.66620348528</v>
      </c>
      <c r="BW41" s="81">
        <f>BV41/SUM('TABLE 4 - October 2016 Dataset'!F41:H41)</f>
        <v>4610.7490989622074</v>
      </c>
      <c r="BX41" s="264">
        <f t="shared" si="28"/>
        <v>1547.8763990222942</v>
      </c>
      <c r="BY41" s="81">
        <f t="shared" si="29"/>
        <v>16.643832247551472</v>
      </c>
      <c r="BZ41" s="269">
        <f t="shared" si="30"/>
        <v>3.6228669743681857E-3</v>
      </c>
      <c r="CA41" s="103"/>
      <c r="CB41" s="80">
        <f>'TABLE 5 - DfE Published Figures'!J40</f>
        <v>429000</v>
      </c>
      <c r="CC41" s="84">
        <f t="shared" si="31"/>
        <v>0</v>
      </c>
      <c r="CD41" s="81"/>
      <c r="CE41" s="81"/>
      <c r="CF41" s="81"/>
      <c r="CG41" s="81"/>
      <c r="CH41" s="2"/>
    </row>
    <row r="42" spans="2:86" ht="15.75">
      <c r="B42" s="198">
        <v>2016</v>
      </c>
      <c r="C42" s="60" t="s">
        <v>50</v>
      </c>
      <c r="D42" s="204" t="s">
        <v>73</v>
      </c>
      <c r="F42" s="80">
        <v>341</v>
      </c>
      <c r="G42" s="163"/>
      <c r="H42" s="164">
        <v>0</v>
      </c>
      <c r="I42" s="94">
        <f t="shared" si="0"/>
        <v>341</v>
      </c>
      <c r="J42" s="103"/>
      <c r="K42" s="80">
        <v>1125452.9398322031</v>
      </c>
      <c r="L42" s="163"/>
      <c r="M42" s="163"/>
      <c r="N42" s="94">
        <f t="shared" si="1"/>
        <v>1125452.9398322031</v>
      </c>
      <c r="O42" s="103"/>
      <c r="P42" s="80">
        <f>P$76*'TABLE 4 - October 2016 Dataset'!F42</f>
        <v>936723.59</v>
      </c>
      <c r="Q42" s="160"/>
      <c r="R42" s="161"/>
      <c r="S42" s="162">
        <f t="shared" si="3"/>
        <v>936723.59</v>
      </c>
      <c r="T42" s="165">
        <f>T$76*'TABLE 4 - October 2016 Dataset'!I42</f>
        <v>12759.999999999996</v>
      </c>
      <c r="U42" s="165">
        <f>U$76*'TABLE 4 - October 2016 Dataset'!J42</f>
        <v>23796.553846153849</v>
      </c>
      <c r="V42" s="165">
        <f>V$76*'TABLE 4 - October 2016 Dataset'!K42</f>
        <v>0</v>
      </c>
      <c r="W42" s="165">
        <f>W$76*'TABLE 4 - October 2016 Dataset'!L42</f>
        <v>419.99999999999943</v>
      </c>
      <c r="X42" s="165">
        <f>X$76*'TABLE 4 - October 2016 Dataset'!M42</f>
        <v>780.00000000000034</v>
      </c>
      <c r="Y42" s="165">
        <f>Y$76*'TABLE 4 - October 2016 Dataset'!N42</f>
        <v>720.00000000000034</v>
      </c>
      <c r="Z42" s="165">
        <f>Z$76*'TABLE 4 - October 2016 Dataset'!O42</f>
        <v>21599.999999999964</v>
      </c>
      <c r="AA42" s="165">
        <f>AA$76*'TABLE 4 - October 2016 Dataset'!P42</f>
        <v>599.99999999999989</v>
      </c>
      <c r="AB42" s="162">
        <f t="shared" si="4"/>
        <v>60676.553846153809</v>
      </c>
      <c r="AC42" s="140">
        <f>AC$76*'TABLE 4 - October 2016 Dataset'!Q42</f>
        <v>96478.893446690417</v>
      </c>
      <c r="AD42" s="140">
        <f>AD$76*'TABLE 4 - October 2016 Dataset'!R42</f>
        <v>10475.280701754378</v>
      </c>
      <c r="AE42" s="140">
        <f>AE$76*'TABLE 4 - October 2016 Dataset'!S42</f>
        <v>0</v>
      </c>
      <c r="AF42" s="140">
        <f t="shared" si="5"/>
        <v>110000</v>
      </c>
      <c r="AG42" s="140">
        <f>IF('TABLE 4 - October 2016 Dataset'!X42="No",0,"*CHECK*")</f>
        <v>0</v>
      </c>
      <c r="AH42" s="140">
        <f>'TABLE 4 - October 2016 Dataset'!Y42</f>
        <v>3866.68</v>
      </c>
      <c r="AI42" s="170">
        <f>IF('TABLE 4 - October 2016 Dataset'!Z42&gt;0,('TABLE 4 - October 2016 Dataset'!Z42*(1+AI$79))-((AI$76*SUM('TABLE 4 - October 2016 Dataset'!F42:H42))+AI$77),0)</f>
        <v>0</v>
      </c>
      <c r="AJ42" s="166" t="str">
        <f>IF('TABLE 4 - October 2016 Dataset'!AA42="Yes",'TABLE 1 - 2018-19 Provisional'!AJ$76*SUM('TABLE 4 - October 2016 Dataset'!F42:H42),"")</f>
        <v/>
      </c>
      <c r="AK42" s="140">
        <f t="shared" si="6"/>
        <v>0</v>
      </c>
      <c r="AL42" s="94">
        <f t="shared" si="7"/>
        <v>1218220.9979945985</v>
      </c>
      <c r="AM42" s="103"/>
      <c r="AN42" s="80">
        <f t="shared" si="8"/>
        <v>1214354.3179945985</v>
      </c>
      <c r="AO42" s="165">
        <f>AN42/SUM('TABLE 4 - October 2016 Dataset'!F42:H42)</f>
        <v>3561.1563577554211</v>
      </c>
      <c r="AP42" s="165">
        <f t="shared" si="2"/>
        <v>0</v>
      </c>
      <c r="AQ42" s="165">
        <f>AP42*SUM('TABLE 4 - October 2016 Dataset'!F42:H42)</f>
        <v>0</v>
      </c>
      <c r="AR42" s="94">
        <f t="shared" si="9"/>
        <v>1218220.9979945985</v>
      </c>
      <c r="AS42" s="103"/>
      <c r="AT42" s="80">
        <f>N42-(AF42+AG42+'TABLE 4 - October 2016 Dataset'!Y42)</f>
        <v>1011586.2598322032</v>
      </c>
      <c r="AU42" s="187">
        <f t="shared" si="10"/>
        <v>1104354.3179945985</v>
      </c>
      <c r="AV42" s="165">
        <f t="shared" si="11"/>
        <v>2966.5286212088067</v>
      </c>
      <c r="AW42" s="165">
        <f>AU42/SUM('TABLE 4 - October 2016 Dataset'!F42:H42)</f>
        <v>3238.5757125941304</v>
      </c>
      <c r="AX42" s="173">
        <f t="shared" si="12"/>
        <v>9.1705534017220813E-2</v>
      </c>
      <c r="AY42" s="173">
        <f t="shared" si="13"/>
        <v>0</v>
      </c>
      <c r="AZ42" s="175">
        <f t="shared" si="14"/>
        <v>0</v>
      </c>
      <c r="BA42" s="165">
        <f>AZ42*SUM('TABLE 4 - October 2016 Dataset'!F42:H42)</f>
        <v>0</v>
      </c>
      <c r="BB42" s="94">
        <f t="shared" si="15"/>
        <v>1218220.9979945985</v>
      </c>
      <c r="BC42" s="103"/>
      <c r="BD42" s="184">
        <f>'TABLE 3 - Target Illustrative'!AR42-(AF42+AG42+AH42)</f>
        <v>1104354.3179945985</v>
      </c>
      <c r="BE42" s="165">
        <f>BD42/SUM('TABLE 4 - October 2016 Dataset'!F42:H42)</f>
        <v>3238.5757125941304</v>
      </c>
      <c r="BF42" s="173">
        <f t="shared" si="16"/>
        <v>9.1705534017220813E-2</v>
      </c>
      <c r="BG42" s="185">
        <f t="shared" si="17"/>
        <v>1.8341106803444165E-2</v>
      </c>
      <c r="BH42" s="185">
        <f t="shared" si="18"/>
        <v>0.03</v>
      </c>
      <c r="BI42" s="173">
        <f t="shared" si="19"/>
        <v>-6.1705534017220814E-2</v>
      </c>
      <c r="BJ42" s="175">
        <f t="shared" si="20"/>
        <v>-183.05123274905918</v>
      </c>
      <c r="BK42" s="165">
        <f>BJ42*SUM('TABLE 4 - October 2016 Dataset'!F42:H42)</f>
        <v>-62420.470367429181</v>
      </c>
      <c r="BL42" s="94">
        <f t="shared" si="21"/>
        <v>1155800.5276271694</v>
      </c>
      <c r="BM42" s="103"/>
      <c r="BN42" s="179">
        <f t="shared" si="22"/>
        <v>1151933.8476271695</v>
      </c>
      <c r="BO42" s="175">
        <f>BN42/SUM('TABLE 4 - October 2016 Dataset'!F42:H42)</f>
        <v>3378.105125006362</v>
      </c>
      <c r="BP42" s="175">
        <f t="shared" si="23"/>
        <v>0</v>
      </c>
      <c r="BQ42" s="175">
        <f>BP42*SUM('TABLE 4 - October 2016 Dataset'!F42:H42)</f>
        <v>0</v>
      </c>
      <c r="BR42" s="94">
        <f t="shared" si="24"/>
        <v>1155800.5276271694</v>
      </c>
      <c r="BS42" s="103"/>
      <c r="BT42" s="80">
        <f t="shared" si="25"/>
        <v>1125452.9398322031</v>
      </c>
      <c r="BU42" s="122">
        <f t="shared" si="26"/>
        <v>3300.448503906754</v>
      </c>
      <c r="BV42" s="264">
        <f t="shared" si="27"/>
        <v>1155800.5276271694</v>
      </c>
      <c r="BW42" s="81">
        <f>BV42/SUM('TABLE 4 - October 2016 Dataset'!F42:H42)</f>
        <v>3389.4443625430185</v>
      </c>
      <c r="BX42" s="264">
        <f t="shared" si="28"/>
        <v>30347.587794966297</v>
      </c>
      <c r="BY42" s="81">
        <f t="shared" si="29"/>
        <v>88.995858636264529</v>
      </c>
      <c r="BZ42" s="269">
        <f t="shared" si="30"/>
        <v>2.6964777220707968E-2</v>
      </c>
      <c r="CA42" s="103"/>
      <c r="CB42" s="80">
        <f>'TABLE 5 - DfE Published Figures'!J41</f>
        <v>1152000</v>
      </c>
      <c r="CC42" s="84">
        <f t="shared" si="31"/>
        <v>4000</v>
      </c>
      <c r="CD42" s="81"/>
      <c r="CE42" s="81"/>
      <c r="CF42" s="81"/>
      <c r="CG42" s="81"/>
      <c r="CH42" s="2"/>
    </row>
    <row r="43" spans="2:86" ht="15.75">
      <c r="B43" s="198">
        <v>2169</v>
      </c>
      <c r="C43" s="60" t="s">
        <v>51</v>
      </c>
      <c r="D43" s="204"/>
      <c r="F43" s="80">
        <v>80</v>
      </c>
      <c r="G43" s="163"/>
      <c r="H43" s="164">
        <v>0</v>
      </c>
      <c r="I43" s="94">
        <f t="shared" si="0"/>
        <v>80</v>
      </c>
      <c r="J43" s="103"/>
      <c r="K43" s="80">
        <v>400175.05941763445</v>
      </c>
      <c r="L43" s="163"/>
      <c r="M43" s="163"/>
      <c r="N43" s="94">
        <f t="shared" si="1"/>
        <v>400175.05941763445</v>
      </c>
      <c r="O43" s="103"/>
      <c r="P43" s="80">
        <f>P$76*'TABLE 4 - October 2016 Dataset'!F43</f>
        <v>219759.19999999998</v>
      </c>
      <c r="Q43" s="160"/>
      <c r="R43" s="161"/>
      <c r="S43" s="162">
        <f t="shared" si="3"/>
        <v>219759.19999999998</v>
      </c>
      <c r="T43" s="165">
        <f>T$76*'TABLE 4 - October 2016 Dataset'!I43</f>
        <v>3520</v>
      </c>
      <c r="U43" s="165">
        <f>U$76*'TABLE 4 - October 2016 Dataset'!J43</f>
        <v>10924.137931034484</v>
      </c>
      <c r="V43" s="165">
        <f>V$76*'TABLE 4 - October 2016 Dataset'!K43</f>
        <v>0</v>
      </c>
      <c r="W43" s="165">
        <f>W$76*'TABLE 4 - October 2016 Dataset'!L43</f>
        <v>840</v>
      </c>
      <c r="X43" s="165">
        <f>X$76*'TABLE 4 - October 2016 Dataset'!M43</f>
        <v>0</v>
      </c>
      <c r="Y43" s="165">
        <f>Y$76*'TABLE 4 - October 2016 Dataset'!N43</f>
        <v>360</v>
      </c>
      <c r="Z43" s="165">
        <f>Z$76*'TABLE 4 - October 2016 Dataset'!O43</f>
        <v>0</v>
      </c>
      <c r="AA43" s="165">
        <f>AA$76*'TABLE 4 - October 2016 Dataset'!P43</f>
        <v>200</v>
      </c>
      <c r="AB43" s="162">
        <f t="shared" si="4"/>
        <v>15844.137931034484</v>
      </c>
      <c r="AC43" s="140">
        <f>AC$76*'TABLE 4 - October 2016 Dataset'!Q43</f>
        <v>24475.972540045757</v>
      </c>
      <c r="AD43" s="140">
        <f>AD$76*'TABLE 4 - October 2016 Dataset'!R43</f>
        <v>597.10144927536214</v>
      </c>
      <c r="AE43" s="140">
        <f>AE$76*'TABLE 4 - October 2016 Dataset'!S43</f>
        <v>0</v>
      </c>
      <c r="AF43" s="140">
        <f t="shared" si="5"/>
        <v>110000</v>
      </c>
      <c r="AG43" s="140">
        <f>IF('TABLE 4 - October 2016 Dataset'!X43="No",0,"*CHECK*")</f>
        <v>0</v>
      </c>
      <c r="AH43" s="140">
        <f>'TABLE 4 - October 2016 Dataset'!Y43</f>
        <v>12240</v>
      </c>
      <c r="AI43" s="170">
        <f>IF('TABLE 4 - October 2016 Dataset'!Z43&gt;0,('TABLE 4 - October 2016 Dataset'!Z43*(1+AI$79))-((AI$76*SUM('TABLE 4 - October 2016 Dataset'!F43:H43))+AI$77),0)</f>
        <v>0</v>
      </c>
      <c r="AJ43" s="166" t="str">
        <f>IF('TABLE 4 - October 2016 Dataset'!AA43="Yes",'TABLE 1 - 2018-19 Provisional'!AJ$76*SUM('TABLE 4 - October 2016 Dataset'!F43:H43),"")</f>
        <v/>
      </c>
      <c r="AK43" s="140">
        <f t="shared" si="6"/>
        <v>0</v>
      </c>
      <c r="AL43" s="94">
        <f t="shared" si="7"/>
        <v>382916.41192035563</v>
      </c>
      <c r="AM43" s="103"/>
      <c r="AN43" s="80">
        <f t="shared" si="8"/>
        <v>370676.41192035563</v>
      </c>
      <c r="AO43" s="165">
        <f>AN43/SUM('TABLE 4 - October 2016 Dataset'!F43:H43)</f>
        <v>4633.455149004445</v>
      </c>
      <c r="AP43" s="165">
        <f t="shared" si="2"/>
        <v>0</v>
      </c>
      <c r="AQ43" s="165">
        <f>AP43*SUM('TABLE 4 - October 2016 Dataset'!F43:H43)</f>
        <v>0</v>
      </c>
      <c r="AR43" s="94">
        <f t="shared" si="9"/>
        <v>382916.41192035563</v>
      </c>
      <c r="AS43" s="103"/>
      <c r="AT43" s="80">
        <f>N43-(AF43+AG43+'TABLE 4 - October 2016 Dataset'!Y43)</f>
        <v>277935.05941763445</v>
      </c>
      <c r="AU43" s="187">
        <f t="shared" si="10"/>
        <v>260676.41192035563</v>
      </c>
      <c r="AV43" s="165">
        <f t="shared" si="11"/>
        <v>3474.1882427204305</v>
      </c>
      <c r="AW43" s="165">
        <f>AU43/SUM('TABLE 4 - October 2016 Dataset'!F43:H43)</f>
        <v>3258.4551490044455</v>
      </c>
      <c r="AX43" s="173">
        <f t="shared" si="12"/>
        <v>-6.2095971387853499E-2</v>
      </c>
      <c r="AY43" s="173">
        <f t="shared" si="13"/>
        <v>6.7095971387853504E-2</v>
      </c>
      <c r="AZ43" s="175">
        <f t="shared" si="14"/>
        <v>233.10403492958704</v>
      </c>
      <c r="BA43" s="165">
        <f>AZ43*SUM('TABLE 4 - October 2016 Dataset'!F43:H43)</f>
        <v>18648.322794366963</v>
      </c>
      <c r="BB43" s="94">
        <f t="shared" si="15"/>
        <v>401564.73471472261</v>
      </c>
      <c r="BC43" s="103"/>
      <c r="BD43" s="184">
        <f>'TABLE 3 - Target Illustrative'!AR43-(AF43+AG43+AH43)</f>
        <v>260676.41192035563</v>
      </c>
      <c r="BE43" s="165">
        <f>BD43/SUM('TABLE 4 - October 2016 Dataset'!F43:H43)</f>
        <v>3258.4551490044455</v>
      </c>
      <c r="BF43" s="173">
        <f t="shared" si="16"/>
        <v>-6.2095971387853499E-2</v>
      </c>
      <c r="BG43" s="185" t="str">
        <f t="shared" si="17"/>
        <v xml:space="preserve">            NA</v>
      </c>
      <c r="BH43" s="185">
        <f t="shared" si="18"/>
        <v>5.0000000000000001E-3</v>
      </c>
      <c r="BI43" s="173">
        <f t="shared" si="19"/>
        <v>0</v>
      </c>
      <c r="BJ43" s="175">
        <f t="shared" si="20"/>
        <v>0</v>
      </c>
      <c r="BK43" s="165">
        <f>BJ43*SUM('TABLE 4 - October 2016 Dataset'!F43:H43)</f>
        <v>0</v>
      </c>
      <c r="BL43" s="94">
        <f t="shared" si="21"/>
        <v>401564.73471472261</v>
      </c>
      <c r="BM43" s="103"/>
      <c r="BN43" s="179">
        <f t="shared" si="22"/>
        <v>389324.73471472261</v>
      </c>
      <c r="BO43" s="175">
        <f>BN43/SUM('TABLE 4 - October 2016 Dataset'!F43:H43)</f>
        <v>4866.5591839340323</v>
      </c>
      <c r="BP43" s="175">
        <f t="shared" si="23"/>
        <v>0</v>
      </c>
      <c r="BQ43" s="175">
        <f>BP43*SUM('TABLE 4 - October 2016 Dataset'!F43:H43)</f>
        <v>0</v>
      </c>
      <c r="BR43" s="94">
        <f t="shared" si="24"/>
        <v>401564.73471472261</v>
      </c>
      <c r="BS43" s="103"/>
      <c r="BT43" s="80">
        <f t="shared" si="25"/>
        <v>400175.05941763445</v>
      </c>
      <c r="BU43" s="122">
        <f t="shared" si="26"/>
        <v>5002.1882427204309</v>
      </c>
      <c r="BV43" s="264">
        <f t="shared" si="27"/>
        <v>401564.73471472261</v>
      </c>
      <c r="BW43" s="81">
        <f>BV43/SUM('TABLE 4 - October 2016 Dataset'!F43:H43)</f>
        <v>5019.5591839340323</v>
      </c>
      <c r="BX43" s="264">
        <f t="shared" si="28"/>
        <v>1389.6752970881644</v>
      </c>
      <c r="BY43" s="81">
        <f t="shared" si="29"/>
        <v>17.370941213601327</v>
      </c>
      <c r="BZ43" s="269">
        <f t="shared" si="30"/>
        <v>3.4726684344358405E-3</v>
      </c>
      <c r="CA43" s="103"/>
      <c r="CB43" s="80">
        <f>'TABLE 5 - DfE Published Figures'!J42</f>
        <v>402000</v>
      </c>
      <c r="CC43" s="84">
        <f t="shared" si="31"/>
        <v>0</v>
      </c>
      <c r="CD43" s="81"/>
      <c r="CE43" s="81"/>
      <c r="CF43" s="81"/>
      <c r="CG43" s="81"/>
      <c r="CH43" s="2"/>
    </row>
    <row r="44" spans="2:86" ht="15.75">
      <c r="B44" s="198">
        <v>3401</v>
      </c>
      <c r="C44" s="60" t="s">
        <v>52</v>
      </c>
      <c r="D44" s="204"/>
      <c r="F44" s="80">
        <v>198</v>
      </c>
      <c r="G44" s="163"/>
      <c r="H44" s="164">
        <v>-1</v>
      </c>
      <c r="I44" s="94">
        <f t="shared" si="0"/>
        <v>197</v>
      </c>
      <c r="J44" s="103"/>
      <c r="K44" s="80">
        <v>729532.8116316197</v>
      </c>
      <c r="L44" s="163"/>
      <c r="M44" s="163"/>
      <c r="N44" s="94">
        <f t="shared" si="1"/>
        <v>729532.8116316197</v>
      </c>
      <c r="O44" s="103"/>
      <c r="P44" s="80">
        <f>P$76*'TABLE 4 - October 2016 Dataset'!F44</f>
        <v>541157.02999999991</v>
      </c>
      <c r="Q44" s="160"/>
      <c r="R44" s="161"/>
      <c r="S44" s="162">
        <f t="shared" si="3"/>
        <v>541157.02999999991</v>
      </c>
      <c r="T44" s="165">
        <f>T$76*'TABLE 4 - October 2016 Dataset'!I44</f>
        <v>13640.000000000038</v>
      </c>
      <c r="U44" s="165">
        <f>U$76*'TABLE 4 - October 2016 Dataset'!J44</f>
        <v>27848.167539267015</v>
      </c>
      <c r="V44" s="165">
        <f>V$76*'TABLE 4 - October 2016 Dataset'!K44</f>
        <v>0</v>
      </c>
      <c r="W44" s="165">
        <f>W$76*'TABLE 4 - October 2016 Dataset'!L44</f>
        <v>15197.142857142848</v>
      </c>
      <c r="X44" s="165">
        <f>X$76*'TABLE 4 - October 2016 Dataset'!M44</f>
        <v>1567.9591836734676</v>
      </c>
      <c r="Y44" s="165">
        <f>Y$76*'TABLE 4 - October 2016 Dataset'!N44</f>
        <v>0</v>
      </c>
      <c r="Z44" s="165">
        <f>Z$76*'TABLE 4 - October 2016 Dataset'!O44</f>
        <v>0</v>
      </c>
      <c r="AA44" s="165">
        <f>AA$76*'TABLE 4 - October 2016 Dataset'!P44</f>
        <v>16282.653061224491</v>
      </c>
      <c r="AB44" s="162">
        <f t="shared" si="4"/>
        <v>74535.922641307858</v>
      </c>
      <c r="AC44" s="140">
        <f>AC$76*'TABLE 4 - October 2016 Dataset'!Q44</f>
        <v>78389.583333333358</v>
      </c>
      <c r="AD44" s="140">
        <f>AD$76*'TABLE 4 - October 2016 Dataset'!R44</f>
        <v>4177.5588235294126</v>
      </c>
      <c r="AE44" s="140">
        <f>AE$76*'TABLE 4 - October 2016 Dataset'!S44</f>
        <v>0</v>
      </c>
      <c r="AF44" s="140">
        <f t="shared" si="5"/>
        <v>110000</v>
      </c>
      <c r="AG44" s="140">
        <f>IF('TABLE 4 - October 2016 Dataset'!X44="No",0,"*CHECK*")</f>
        <v>0</v>
      </c>
      <c r="AH44" s="140">
        <f>'TABLE 4 - October 2016 Dataset'!Y44</f>
        <v>2757.86</v>
      </c>
      <c r="AI44" s="170">
        <f>IF('TABLE 4 - October 2016 Dataset'!Z44&gt;0,('TABLE 4 - October 2016 Dataset'!Z44*(1+AI$79))-((AI$76*SUM('TABLE 4 - October 2016 Dataset'!F44:H44))+AI$77),0)</f>
        <v>0</v>
      </c>
      <c r="AJ44" s="166" t="str">
        <f>IF('TABLE 4 - October 2016 Dataset'!AA44="Yes",'TABLE 1 - 2018-19 Provisional'!AJ$76*SUM('TABLE 4 - October 2016 Dataset'!F44:H44),"")</f>
        <v/>
      </c>
      <c r="AK44" s="140">
        <f t="shared" si="6"/>
        <v>0</v>
      </c>
      <c r="AL44" s="94">
        <f t="shared" si="7"/>
        <v>811017.95479817048</v>
      </c>
      <c r="AM44" s="103"/>
      <c r="AN44" s="80">
        <f t="shared" si="8"/>
        <v>808260.0947981705</v>
      </c>
      <c r="AO44" s="165">
        <f>AN44/SUM('TABLE 4 - October 2016 Dataset'!F44:H44)</f>
        <v>4102.843120802896</v>
      </c>
      <c r="AP44" s="165">
        <f t="shared" si="2"/>
        <v>0</v>
      </c>
      <c r="AQ44" s="165">
        <f>AP44*SUM('TABLE 4 - October 2016 Dataset'!F44:H44)</f>
        <v>0</v>
      </c>
      <c r="AR44" s="94">
        <f t="shared" si="9"/>
        <v>811017.95479817048</v>
      </c>
      <c r="AS44" s="103"/>
      <c r="AT44" s="80">
        <f>N44-(AF44+AG44+'TABLE 4 - October 2016 Dataset'!Y44)</f>
        <v>616774.95163161971</v>
      </c>
      <c r="AU44" s="187">
        <f t="shared" si="10"/>
        <v>698260.0947981705</v>
      </c>
      <c r="AV44" s="165">
        <f t="shared" si="11"/>
        <v>3130.8373179270038</v>
      </c>
      <c r="AW44" s="165">
        <f>AU44/SUM('TABLE 4 - October 2016 Dataset'!F44:H44)</f>
        <v>3544.4674862851293</v>
      </c>
      <c r="AX44" s="173">
        <f t="shared" si="12"/>
        <v>0.13211487099304131</v>
      </c>
      <c r="AY44" s="173">
        <f t="shared" si="13"/>
        <v>0</v>
      </c>
      <c r="AZ44" s="175">
        <f t="shared" si="14"/>
        <v>0</v>
      </c>
      <c r="BA44" s="165">
        <f>AZ44*SUM('TABLE 4 - October 2016 Dataset'!F44:H44)</f>
        <v>0</v>
      </c>
      <c r="BB44" s="94">
        <f t="shared" si="15"/>
        <v>811017.95479817048</v>
      </c>
      <c r="BC44" s="103"/>
      <c r="BD44" s="184">
        <f>'TABLE 3 - Target Illustrative'!AR44-(AF44+AG44+AH44)</f>
        <v>698260.0947981705</v>
      </c>
      <c r="BE44" s="165">
        <f>BD44/SUM('TABLE 4 - October 2016 Dataset'!F44:H44)</f>
        <v>3544.4674862851293</v>
      </c>
      <c r="BF44" s="173">
        <f t="shared" si="16"/>
        <v>0.13211487099304131</v>
      </c>
      <c r="BG44" s="185">
        <f t="shared" si="17"/>
        <v>2.6422974198608264E-2</v>
      </c>
      <c r="BH44" s="185">
        <f t="shared" si="18"/>
        <v>0.03</v>
      </c>
      <c r="BI44" s="173">
        <f t="shared" si="19"/>
        <v>-0.10211487099304131</v>
      </c>
      <c r="BJ44" s="175">
        <f t="shared" si="20"/>
        <v>-319.70504882031548</v>
      </c>
      <c r="BK44" s="165">
        <f>BJ44*SUM('TABLE 4 - October 2016 Dataset'!F44:H44)</f>
        <v>-62981.894617602149</v>
      </c>
      <c r="BL44" s="94">
        <f t="shared" si="21"/>
        <v>748036.06018056837</v>
      </c>
      <c r="BM44" s="103"/>
      <c r="BN44" s="179">
        <f t="shared" si="22"/>
        <v>745278.20018056838</v>
      </c>
      <c r="BO44" s="175">
        <f>BN44/SUM('TABLE 4 - October 2016 Dataset'!F44:H44)</f>
        <v>3783.1380719825806</v>
      </c>
      <c r="BP44" s="175">
        <f t="shared" si="23"/>
        <v>0</v>
      </c>
      <c r="BQ44" s="175">
        <f>BP44*SUM('TABLE 4 - October 2016 Dataset'!F44:H44)</f>
        <v>0</v>
      </c>
      <c r="BR44" s="94">
        <f t="shared" si="24"/>
        <v>748036.06018056837</v>
      </c>
      <c r="BS44" s="103"/>
      <c r="BT44" s="80">
        <f t="shared" si="25"/>
        <v>729532.8116316197</v>
      </c>
      <c r="BU44" s="122">
        <f t="shared" si="26"/>
        <v>3703.2122417848714</v>
      </c>
      <c r="BV44" s="264">
        <f t="shared" si="27"/>
        <v>748036.06018056837</v>
      </c>
      <c r="BW44" s="81">
        <f>BV44/SUM('TABLE 4 - October 2016 Dataset'!F44:H44)</f>
        <v>3797.137361322682</v>
      </c>
      <c r="BX44" s="264">
        <f t="shared" si="28"/>
        <v>18503.248548948672</v>
      </c>
      <c r="BY44" s="81">
        <f t="shared" si="29"/>
        <v>93.925119537810588</v>
      </c>
      <c r="BZ44" s="269">
        <f t="shared" si="30"/>
        <v>2.5363147830960029E-2</v>
      </c>
      <c r="CA44" s="103"/>
      <c r="CB44" s="80">
        <f>'TABLE 5 - DfE Published Figures'!J43</f>
        <v>748000</v>
      </c>
      <c r="CC44" s="84">
        <f t="shared" si="31"/>
        <v>0</v>
      </c>
      <c r="CD44" s="81"/>
      <c r="CE44" s="81"/>
      <c r="CF44" s="81"/>
      <c r="CG44" s="81"/>
      <c r="CH44" s="2"/>
    </row>
    <row r="45" spans="2:86" ht="15.75">
      <c r="B45" s="198">
        <v>3002</v>
      </c>
      <c r="C45" s="60" t="s">
        <v>49</v>
      </c>
      <c r="D45" s="204"/>
      <c r="F45" s="80">
        <v>152</v>
      </c>
      <c r="G45" s="163"/>
      <c r="H45" s="164">
        <v>0</v>
      </c>
      <c r="I45" s="94">
        <f t="shared" si="0"/>
        <v>152</v>
      </c>
      <c r="J45" s="103"/>
      <c r="K45" s="80">
        <v>753025.69560504716</v>
      </c>
      <c r="L45" s="163"/>
      <c r="M45" s="108">
        <v>34003.516666666997</v>
      </c>
      <c r="N45" s="94">
        <f t="shared" si="1"/>
        <v>787029.21227171412</v>
      </c>
      <c r="O45" s="103"/>
      <c r="P45" s="80">
        <f>P$76*'TABLE 4 - October 2016 Dataset'!F45</f>
        <v>417542.48</v>
      </c>
      <c r="Q45" s="160"/>
      <c r="R45" s="161"/>
      <c r="S45" s="162">
        <f t="shared" si="3"/>
        <v>417542.48</v>
      </c>
      <c r="T45" s="165">
        <f>T$76*'TABLE 4 - October 2016 Dataset'!I45</f>
        <v>7920.0000000000027</v>
      </c>
      <c r="U45" s="165">
        <f>U$76*'TABLE 4 - October 2016 Dataset'!J45</f>
        <v>24076.799999999999</v>
      </c>
      <c r="V45" s="165">
        <f>V$76*'TABLE 4 - October 2016 Dataset'!K45</f>
        <v>0</v>
      </c>
      <c r="W45" s="165">
        <f>W$76*'TABLE 4 - October 2016 Dataset'!L45</f>
        <v>1260.0000000000025</v>
      </c>
      <c r="X45" s="165">
        <f>X$76*'TABLE 4 - October 2016 Dataset'!M45</f>
        <v>4679.9999999999982</v>
      </c>
      <c r="Y45" s="165">
        <f>Y$76*'TABLE 4 - October 2016 Dataset'!N45</f>
        <v>1080.0000000000023</v>
      </c>
      <c r="Z45" s="165">
        <f>Z$76*'TABLE 4 - October 2016 Dataset'!O45</f>
        <v>239.99999999999989</v>
      </c>
      <c r="AA45" s="165">
        <f>AA$76*'TABLE 4 - October 2016 Dataset'!P45</f>
        <v>12399.999999999991</v>
      </c>
      <c r="AB45" s="162">
        <f t="shared" si="4"/>
        <v>51656.799999999996</v>
      </c>
      <c r="AC45" s="140">
        <f>AC$76*'TABLE 4 - October 2016 Dataset'!Q45</f>
        <v>47672.148837209279</v>
      </c>
      <c r="AD45" s="140">
        <f>AD$76*'TABLE 4 - October 2016 Dataset'!R45</f>
        <v>4383.68</v>
      </c>
      <c r="AE45" s="140">
        <f>AE$76*'TABLE 4 - October 2016 Dataset'!S45</f>
        <v>0</v>
      </c>
      <c r="AF45" s="140">
        <f t="shared" si="5"/>
        <v>110000</v>
      </c>
      <c r="AG45" s="140">
        <f>IF('TABLE 4 - October 2016 Dataset'!X45="No",0,"*CHECK*")</f>
        <v>0</v>
      </c>
      <c r="AH45" s="140">
        <f>'TABLE 4 - October 2016 Dataset'!Y45</f>
        <v>23640</v>
      </c>
      <c r="AI45" s="140">
        <f>IF('TABLE 4 - October 2016 Dataset'!Z45&gt;0,('TABLE 4 - October 2016 Dataset'!Z45*(1+AI$79))-((AI$76*SUM('TABLE 4 - October 2016 Dataset'!F45:H45))+AI$77),0)</f>
        <v>173505.94500000001</v>
      </c>
      <c r="AJ45" s="166" t="str">
        <f>IF('TABLE 4 - October 2016 Dataset'!AA45="Yes",'TABLE 1 - 2018-19 Provisional'!AJ$76*SUM('TABLE 4 - October 2016 Dataset'!F45:H45),"")</f>
        <v/>
      </c>
      <c r="AK45" s="140">
        <f t="shared" si="6"/>
        <v>0</v>
      </c>
      <c r="AL45" s="94">
        <f t="shared" si="7"/>
        <v>828401.05383720924</v>
      </c>
      <c r="AM45" s="103"/>
      <c r="AN45" s="80">
        <f t="shared" si="8"/>
        <v>631255.10883720918</v>
      </c>
      <c r="AO45" s="165">
        <f>AN45/SUM('TABLE 4 - October 2016 Dataset'!F45:H45)</f>
        <v>4152.9941370869028</v>
      </c>
      <c r="AP45" s="165">
        <f t="shared" si="2"/>
        <v>0</v>
      </c>
      <c r="AQ45" s="165">
        <f>AP45*SUM('TABLE 4 - October 2016 Dataset'!F45:H45)</f>
        <v>0</v>
      </c>
      <c r="AR45" s="94">
        <f t="shared" si="9"/>
        <v>828401.05383720924</v>
      </c>
      <c r="AS45" s="103"/>
      <c r="AT45" s="80">
        <f>N45-(AF45+AG45+'TABLE 4 - October 2016 Dataset'!Y45)</f>
        <v>653389.21227171412</v>
      </c>
      <c r="AU45" s="187">
        <f t="shared" si="10"/>
        <v>694761.05383720924</v>
      </c>
      <c r="AV45" s="165">
        <f t="shared" si="11"/>
        <v>4298.6132386296986</v>
      </c>
      <c r="AW45" s="165">
        <f>AU45/SUM('TABLE 4 - October 2016 Dataset'!F45:H45)</f>
        <v>4570.7964068237452</v>
      </c>
      <c r="AX45" s="173">
        <f t="shared" si="12"/>
        <v>6.3318831698571776E-2</v>
      </c>
      <c r="AY45" s="173">
        <f t="shared" si="13"/>
        <v>0</v>
      </c>
      <c r="AZ45" s="175">
        <f t="shared" si="14"/>
        <v>0</v>
      </c>
      <c r="BA45" s="165">
        <f>AZ45*SUM('TABLE 4 - October 2016 Dataset'!F45:H45)</f>
        <v>0</v>
      </c>
      <c r="BB45" s="94">
        <f t="shared" si="15"/>
        <v>828401.05383720924</v>
      </c>
      <c r="BC45" s="103"/>
      <c r="BD45" s="184">
        <f>'TABLE 3 - Target Illustrative'!AR45-(AF45+AG45+AH45)</f>
        <v>702300.01971220924</v>
      </c>
      <c r="BE45" s="165">
        <f>BD45/SUM('TABLE 4 - October 2016 Dataset'!F45:H45)</f>
        <v>4620.3948665276921</v>
      </c>
      <c r="BF45" s="173">
        <f t="shared" si="16"/>
        <v>7.4857078326165061E-2</v>
      </c>
      <c r="BG45" s="185">
        <f t="shared" si="17"/>
        <v>1.4971415665233013E-2</v>
      </c>
      <c r="BH45" s="185">
        <f t="shared" si="18"/>
        <v>0.03</v>
      </c>
      <c r="BI45" s="173">
        <f t="shared" si="19"/>
        <v>-3.3318831698571777E-2</v>
      </c>
      <c r="BJ45" s="175">
        <f t="shared" si="20"/>
        <v>-143.2247710351555</v>
      </c>
      <c r="BK45" s="165">
        <f>BJ45*SUM('TABLE 4 - October 2016 Dataset'!F45:H45)</f>
        <v>-21770.165197343635</v>
      </c>
      <c r="BL45" s="94">
        <f t="shared" si="21"/>
        <v>806630.88863986556</v>
      </c>
      <c r="BM45" s="103"/>
      <c r="BN45" s="179">
        <f t="shared" si="22"/>
        <v>609484.94363986561</v>
      </c>
      <c r="BO45" s="175">
        <f>BN45/SUM('TABLE 4 - October 2016 Dataset'!F45:H45)</f>
        <v>4009.7693660517475</v>
      </c>
      <c r="BP45" s="175">
        <f t="shared" si="23"/>
        <v>0</v>
      </c>
      <c r="BQ45" s="175">
        <f>BP45*SUM('TABLE 4 - October 2016 Dataset'!F45:H45)</f>
        <v>0</v>
      </c>
      <c r="BR45" s="94">
        <f t="shared" si="24"/>
        <v>806630.88863986556</v>
      </c>
      <c r="BS45" s="103"/>
      <c r="BT45" s="80">
        <f t="shared" si="25"/>
        <v>787029.21227171412</v>
      </c>
      <c r="BU45" s="122">
        <f t="shared" si="26"/>
        <v>5177.8237649454877</v>
      </c>
      <c r="BV45" s="264">
        <f t="shared" si="27"/>
        <v>806630.88863986556</v>
      </c>
      <c r="BW45" s="81">
        <f>BV45/SUM('TABLE 4 - October 2016 Dataset'!F45:H45)</f>
        <v>5306.7821621043786</v>
      </c>
      <c r="BX45" s="264">
        <f t="shared" si="28"/>
        <v>19601.676368151442</v>
      </c>
      <c r="BY45" s="81">
        <f t="shared" si="29"/>
        <v>128.95839715889088</v>
      </c>
      <c r="BZ45" s="269">
        <f t="shared" si="30"/>
        <v>2.4905907001307247E-2</v>
      </c>
      <c r="CA45" s="103"/>
      <c r="CB45" s="80">
        <f>'TABLE 5 - DfE Published Figures'!J44</f>
        <v>808000</v>
      </c>
      <c r="CC45" s="84">
        <f t="shared" si="31"/>
        <v>-1000</v>
      </c>
      <c r="CD45" s="81"/>
      <c r="CE45" s="81"/>
      <c r="CF45" s="81"/>
      <c r="CG45" s="81"/>
      <c r="CH45" s="2"/>
    </row>
    <row r="46" spans="2:86" ht="15.75">
      <c r="B46" s="198">
        <v>3402</v>
      </c>
      <c r="C46" s="60" t="s">
        <v>53</v>
      </c>
      <c r="D46" s="204"/>
      <c r="F46" s="80">
        <v>174</v>
      </c>
      <c r="G46" s="163"/>
      <c r="H46" s="164">
        <v>-3</v>
      </c>
      <c r="I46" s="94">
        <f t="shared" si="0"/>
        <v>171</v>
      </c>
      <c r="J46" s="103"/>
      <c r="K46" s="80">
        <v>697155.02592300856</v>
      </c>
      <c r="L46" s="163"/>
      <c r="M46" s="163"/>
      <c r="N46" s="94">
        <f t="shared" si="1"/>
        <v>697155.02592300856</v>
      </c>
      <c r="O46" s="103"/>
      <c r="P46" s="80">
        <f>P$76*'TABLE 4 - October 2016 Dataset'!F46</f>
        <v>469735.29</v>
      </c>
      <c r="Q46" s="160"/>
      <c r="R46" s="161"/>
      <c r="S46" s="162">
        <f t="shared" si="3"/>
        <v>469735.29</v>
      </c>
      <c r="T46" s="165">
        <f>T$76*'TABLE 4 - October 2016 Dataset'!I46</f>
        <v>4840.0000000000027</v>
      </c>
      <c r="U46" s="165">
        <f>U$76*'TABLE 4 - October 2016 Dataset'!J46</f>
        <v>17855.801104972375</v>
      </c>
      <c r="V46" s="165">
        <f>V$76*'TABLE 4 - October 2016 Dataset'!K46</f>
        <v>0</v>
      </c>
      <c r="W46" s="165">
        <f>W$76*'TABLE 4 - October 2016 Dataset'!L46</f>
        <v>1730.6024096385559</v>
      </c>
      <c r="X46" s="165">
        <f>X$76*'TABLE 4 - October 2016 Dataset'!M46</f>
        <v>4820.9638554216845</v>
      </c>
      <c r="Y46" s="165">
        <f>Y$76*'TABLE 4 - October 2016 Dataset'!N46</f>
        <v>370.84337349397595</v>
      </c>
      <c r="Z46" s="165">
        <f>Z$76*'TABLE 4 - October 2016 Dataset'!O46</f>
        <v>1977.8313253012068</v>
      </c>
      <c r="AA46" s="165">
        <f>AA$76*'TABLE 4 - October 2016 Dataset'!P46</f>
        <v>2678.3132530120483</v>
      </c>
      <c r="AB46" s="162">
        <f t="shared" si="4"/>
        <v>34274.355321839845</v>
      </c>
      <c r="AC46" s="140">
        <f>AC$76*'TABLE 4 - October 2016 Dataset'!Q46</f>
        <v>62916.556291390792</v>
      </c>
      <c r="AD46" s="140">
        <f>AD$76*'TABLE 4 - October 2016 Dataset'!R46</f>
        <v>19245.993377483454</v>
      </c>
      <c r="AE46" s="140">
        <f>AE$76*'TABLE 4 - October 2016 Dataset'!S46</f>
        <v>4905.8999999999451</v>
      </c>
      <c r="AF46" s="140">
        <f t="shared" si="5"/>
        <v>110000</v>
      </c>
      <c r="AG46" s="140">
        <f>IF('TABLE 4 - October 2016 Dataset'!X46="No",0,"*CHECK*")</f>
        <v>0</v>
      </c>
      <c r="AH46" s="140">
        <f>'TABLE 4 - October 2016 Dataset'!Y46</f>
        <v>2871.58</v>
      </c>
      <c r="AI46" s="170">
        <f>IF('TABLE 4 - October 2016 Dataset'!Z46&gt;0,('TABLE 4 - October 2016 Dataset'!Z46*(1+AI$79))-((AI$76*SUM('TABLE 4 - October 2016 Dataset'!F46:H46))+AI$77),0)</f>
        <v>0</v>
      </c>
      <c r="AJ46" s="166" t="str">
        <f>IF('TABLE 4 - October 2016 Dataset'!AA46="Yes",'TABLE 1 - 2018-19 Provisional'!AJ$76*SUM('TABLE 4 - October 2016 Dataset'!F46:H46),"")</f>
        <v/>
      </c>
      <c r="AK46" s="140">
        <f t="shared" si="6"/>
        <v>0</v>
      </c>
      <c r="AL46" s="94">
        <f t="shared" si="7"/>
        <v>703949.67499071395</v>
      </c>
      <c r="AM46" s="103"/>
      <c r="AN46" s="80">
        <f t="shared" si="8"/>
        <v>701078.09499071399</v>
      </c>
      <c r="AO46" s="165">
        <f>AN46/SUM('TABLE 4 - October 2016 Dataset'!F46:H46)</f>
        <v>4099.8719005304911</v>
      </c>
      <c r="AP46" s="165">
        <f t="shared" si="2"/>
        <v>0</v>
      </c>
      <c r="AQ46" s="165">
        <f>AP46*SUM('TABLE 4 - October 2016 Dataset'!F46:H46)</f>
        <v>0</v>
      </c>
      <c r="AR46" s="94">
        <f t="shared" si="9"/>
        <v>703949.67499071395</v>
      </c>
      <c r="AS46" s="103"/>
      <c r="AT46" s="80">
        <f>N46-(AF46+AG46+'TABLE 4 - October 2016 Dataset'!Y46)</f>
        <v>584283.44592300861</v>
      </c>
      <c r="AU46" s="187">
        <f t="shared" si="10"/>
        <v>591078.09499071399</v>
      </c>
      <c r="AV46" s="165">
        <f t="shared" si="11"/>
        <v>3416.8622568596993</v>
      </c>
      <c r="AW46" s="165">
        <f>AU46/SUM('TABLE 4 - October 2016 Dataset'!F46:H46)</f>
        <v>3456.5970467293214</v>
      </c>
      <c r="AX46" s="173">
        <f t="shared" si="12"/>
        <v>1.1629028881644299E-2</v>
      </c>
      <c r="AY46" s="173">
        <f t="shared" si="13"/>
        <v>0</v>
      </c>
      <c r="AZ46" s="175">
        <f t="shared" si="14"/>
        <v>0</v>
      </c>
      <c r="BA46" s="165">
        <f>AZ46*SUM('TABLE 4 - October 2016 Dataset'!F46:H46)</f>
        <v>0</v>
      </c>
      <c r="BB46" s="94">
        <f t="shared" si="15"/>
        <v>703949.67499071395</v>
      </c>
      <c r="BC46" s="103"/>
      <c r="BD46" s="184">
        <f>'TABLE 3 - Target Illustrative'!AR46-(AF46+AG46+AH46)</f>
        <v>591078.09499071399</v>
      </c>
      <c r="BE46" s="165">
        <f>BD46/SUM('TABLE 4 - October 2016 Dataset'!F46:H46)</f>
        <v>3456.5970467293214</v>
      </c>
      <c r="BF46" s="173">
        <f t="shared" si="16"/>
        <v>1.1629028881644299E-2</v>
      </c>
      <c r="BG46" s="185">
        <f t="shared" si="17"/>
        <v>2.3258057763288599E-3</v>
      </c>
      <c r="BH46" s="185">
        <f t="shared" si="18"/>
        <v>1.1629028881644299E-2</v>
      </c>
      <c r="BI46" s="173">
        <f t="shared" si="19"/>
        <v>0</v>
      </c>
      <c r="BJ46" s="175">
        <f t="shared" si="20"/>
        <v>0</v>
      </c>
      <c r="BK46" s="165">
        <f>BJ46*SUM('TABLE 4 - October 2016 Dataset'!F46:H46)</f>
        <v>0</v>
      </c>
      <c r="BL46" s="94">
        <f t="shared" si="21"/>
        <v>703949.67499071395</v>
      </c>
      <c r="BM46" s="103"/>
      <c r="BN46" s="179">
        <f t="shared" si="22"/>
        <v>701078.09499071399</v>
      </c>
      <c r="BO46" s="175">
        <f>BN46/SUM('TABLE 4 - October 2016 Dataset'!F46:H46)</f>
        <v>4099.8719005304911</v>
      </c>
      <c r="BP46" s="175">
        <f t="shared" si="23"/>
        <v>0</v>
      </c>
      <c r="BQ46" s="175">
        <f>BP46*SUM('TABLE 4 - October 2016 Dataset'!F46:H46)</f>
        <v>0</v>
      </c>
      <c r="BR46" s="94">
        <f t="shared" si="24"/>
        <v>703949.67499071395</v>
      </c>
      <c r="BS46" s="103"/>
      <c r="BT46" s="80">
        <f t="shared" si="25"/>
        <v>697155.02592300856</v>
      </c>
      <c r="BU46" s="122">
        <f t="shared" si="26"/>
        <v>4076.929976157945</v>
      </c>
      <c r="BV46" s="264">
        <f t="shared" si="27"/>
        <v>703949.67499071395</v>
      </c>
      <c r="BW46" s="81">
        <f>BV46/SUM('TABLE 4 - October 2016 Dataset'!F46:H46)</f>
        <v>4116.6647660275667</v>
      </c>
      <c r="BX46" s="264">
        <f t="shared" si="28"/>
        <v>6794.6490677053807</v>
      </c>
      <c r="BY46" s="81">
        <f t="shared" si="29"/>
        <v>39.734789869621636</v>
      </c>
      <c r="BZ46" s="269">
        <f t="shared" si="30"/>
        <v>9.7462527200595367E-3</v>
      </c>
      <c r="CA46" s="103"/>
      <c r="CB46" s="80">
        <f>'TABLE 5 - DfE Published Figures'!J45</f>
        <v>704000</v>
      </c>
      <c r="CC46" s="84">
        <f t="shared" si="31"/>
        <v>0</v>
      </c>
      <c r="CD46" s="81"/>
      <c r="CE46" s="81"/>
      <c r="CF46" s="81"/>
      <c r="CG46" s="81"/>
      <c r="CH46" s="2"/>
    </row>
    <row r="47" spans="2:86" ht="15.75">
      <c r="B47" s="198">
        <v>3305</v>
      </c>
      <c r="C47" s="60" t="s">
        <v>67</v>
      </c>
      <c r="D47" s="204"/>
      <c r="F47" s="80">
        <v>195</v>
      </c>
      <c r="G47" s="163"/>
      <c r="H47" s="164">
        <v>-1</v>
      </c>
      <c r="I47" s="94">
        <f t="shared" si="0"/>
        <v>194</v>
      </c>
      <c r="J47" s="103"/>
      <c r="K47" s="80">
        <v>799234.35901221819</v>
      </c>
      <c r="L47" s="163"/>
      <c r="M47" s="163"/>
      <c r="N47" s="94">
        <f t="shared" si="1"/>
        <v>799234.35901221819</v>
      </c>
      <c r="O47" s="103"/>
      <c r="P47" s="80">
        <f>P$76*'TABLE 4 - October 2016 Dataset'!F47</f>
        <v>532916.05999999994</v>
      </c>
      <c r="Q47" s="160"/>
      <c r="R47" s="161"/>
      <c r="S47" s="162">
        <f t="shared" si="3"/>
        <v>532916.05999999994</v>
      </c>
      <c r="T47" s="165">
        <f>T$76*'TABLE 4 - October 2016 Dataset'!I47</f>
        <v>17160.000000000036</v>
      </c>
      <c r="U47" s="165">
        <f>U$76*'TABLE 4 - October 2016 Dataset'!J47</f>
        <v>44897.142857142855</v>
      </c>
      <c r="V47" s="165">
        <f>V$76*'TABLE 4 - October 2016 Dataset'!K47</f>
        <v>0</v>
      </c>
      <c r="W47" s="165">
        <f>W$76*'TABLE 4 - October 2016 Dataset'!L47</f>
        <v>22260.000000000015</v>
      </c>
      <c r="X47" s="165">
        <f>X$76*'TABLE 4 - October 2016 Dataset'!M47</f>
        <v>7020.0000000000027</v>
      </c>
      <c r="Y47" s="165">
        <f>Y$76*'TABLE 4 - October 2016 Dataset'!N47</f>
        <v>0</v>
      </c>
      <c r="Z47" s="165">
        <f>Z$76*'TABLE 4 - October 2016 Dataset'!O47</f>
        <v>0</v>
      </c>
      <c r="AA47" s="165">
        <f>AA$76*'TABLE 4 - October 2016 Dataset'!P47</f>
        <v>5599.9999999999818</v>
      </c>
      <c r="AB47" s="162">
        <f t="shared" si="4"/>
        <v>96937.142857142884</v>
      </c>
      <c r="AC47" s="140">
        <f>AC$76*'TABLE 4 - October 2016 Dataset'!Q47</f>
        <v>91350.789653082829</v>
      </c>
      <c r="AD47" s="140">
        <f>AD$76*'TABLE 4 - October 2016 Dataset'!R47</f>
        <v>12793.353658536598</v>
      </c>
      <c r="AE47" s="140">
        <f>AE$76*'TABLE 4 - October 2016 Dataset'!S47</f>
        <v>1137.5999999999481</v>
      </c>
      <c r="AF47" s="140">
        <f t="shared" si="5"/>
        <v>110000</v>
      </c>
      <c r="AG47" s="140">
        <f>IF('TABLE 4 - October 2016 Dataset'!X47="No",0,"*CHECK*")</f>
        <v>0</v>
      </c>
      <c r="AH47" s="140">
        <f>'TABLE 4 - October 2016 Dataset'!Y47</f>
        <v>4604.8900000000003</v>
      </c>
      <c r="AI47" s="170">
        <f>IF('TABLE 4 - October 2016 Dataset'!Z47&gt;0,('TABLE 4 - October 2016 Dataset'!Z47*(1+AI$79))-((AI$76*SUM('TABLE 4 - October 2016 Dataset'!F47:H47))+AI$77),0)</f>
        <v>0</v>
      </c>
      <c r="AJ47" s="166" t="str">
        <f>IF('TABLE 4 - October 2016 Dataset'!AA47="Yes",'TABLE 1 - 2018-19 Provisional'!AJ$76*SUM('TABLE 4 - October 2016 Dataset'!F47:H47),"")</f>
        <v/>
      </c>
      <c r="AK47" s="140">
        <f t="shared" si="6"/>
        <v>0</v>
      </c>
      <c r="AL47" s="94">
        <f t="shared" si="7"/>
        <v>849739.83616876218</v>
      </c>
      <c r="AM47" s="103"/>
      <c r="AN47" s="80">
        <f t="shared" si="8"/>
        <v>845134.94616876217</v>
      </c>
      <c r="AO47" s="165">
        <f>AN47/SUM('TABLE 4 - October 2016 Dataset'!F47:H47)</f>
        <v>4356.365701900836</v>
      </c>
      <c r="AP47" s="165">
        <f t="shared" si="2"/>
        <v>0</v>
      </c>
      <c r="AQ47" s="165">
        <f>AP47*SUM('TABLE 4 - October 2016 Dataset'!F47:H47)</f>
        <v>0</v>
      </c>
      <c r="AR47" s="94">
        <f t="shared" si="9"/>
        <v>849739.83616876218</v>
      </c>
      <c r="AS47" s="103"/>
      <c r="AT47" s="80">
        <f>N47-(AF47+AG47+'TABLE 4 - October 2016 Dataset'!Y47)</f>
        <v>684629.46901221818</v>
      </c>
      <c r="AU47" s="187">
        <f t="shared" si="10"/>
        <v>735134.94616876217</v>
      </c>
      <c r="AV47" s="165">
        <f t="shared" si="11"/>
        <v>3529.0178815062791</v>
      </c>
      <c r="AW47" s="165">
        <f>AU47/SUM('TABLE 4 - October 2016 Dataset'!F47:H47)</f>
        <v>3789.3553926224854</v>
      </c>
      <c r="AX47" s="173">
        <f t="shared" si="12"/>
        <v>7.3770527624837934E-2</v>
      </c>
      <c r="AY47" s="173">
        <f t="shared" si="13"/>
        <v>0</v>
      </c>
      <c r="AZ47" s="175">
        <f t="shared" si="14"/>
        <v>0</v>
      </c>
      <c r="BA47" s="165">
        <f>AZ47*SUM('TABLE 4 - October 2016 Dataset'!F47:H47)</f>
        <v>0</v>
      </c>
      <c r="BB47" s="94">
        <f t="shared" si="15"/>
        <v>849739.83616876218</v>
      </c>
      <c r="BC47" s="103"/>
      <c r="BD47" s="184">
        <f>'TABLE 3 - Target Illustrative'!AR47-(AF47+AG47+AH47)</f>
        <v>735134.94616876217</v>
      </c>
      <c r="BE47" s="165">
        <f>BD47/SUM('TABLE 4 - October 2016 Dataset'!F47:H47)</f>
        <v>3789.3553926224854</v>
      </c>
      <c r="BF47" s="173">
        <f t="shared" si="16"/>
        <v>7.3770527624837934E-2</v>
      </c>
      <c r="BG47" s="185">
        <f t="shared" si="17"/>
        <v>1.4754105524967587E-2</v>
      </c>
      <c r="BH47" s="185">
        <f t="shared" si="18"/>
        <v>0.03</v>
      </c>
      <c r="BI47" s="173">
        <f t="shared" si="19"/>
        <v>-4.3770527624837935E-2</v>
      </c>
      <c r="BJ47" s="175">
        <f t="shared" si="20"/>
        <v>-154.46697467101762</v>
      </c>
      <c r="BK47" s="165">
        <f>BJ47*SUM('TABLE 4 - October 2016 Dataset'!F47:H47)</f>
        <v>-29966.593086177418</v>
      </c>
      <c r="BL47" s="94">
        <f t="shared" si="21"/>
        <v>819773.24308258481</v>
      </c>
      <c r="BM47" s="103"/>
      <c r="BN47" s="179">
        <f t="shared" si="22"/>
        <v>815168.3530825848</v>
      </c>
      <c r="BO47" s="175">
        <f>BN47/SUM('TABLE 4 - October 2016 Dataset'!F47:H47)</f>
        <v>4201.8987272298182</v>
      </c>
      <c r="BP47" s="175">
        <f t="shared" si="23"/>
        <v>0</v>
      </c>
      <c r="BQ47" s="175">
        <f>BP47*SUM('TABLE 4 - October 2016 Dataset'!F47:H47)</f>
        <v>0</v>
      </c>
      <c r="BR47" s="94">
        <f t="shared" si="24"/>
        <v>819773.24308258481</v>
      </c>
      <c r="BS47" s="103"/>
      <c r="BT47" s="80">
        <f t="shared" si="25"/>
        <v>799234.35901221819</v>
      </c>
      <c r="BU47" s="122">
        <f t="shared" si="26"/>
        <v>4119.7647371763824</v>
      </c>
      <c r="BV47" s="264">
        <f t="shared" si="27"/>
        <v>819773.24308258481</v>
      </c>
      <c r="BW47" s="81">
        <f>BV47/SUM('TABLE 4 - October 2016 Dataset'!F47:H47)</f>
        <v>4225.6352736215713</v>
      </c>
      <c r="BX47" s="264">
        <f t="shared" si="28"/>
        <v>20538.884070366621</v>
      </c>
      <c r="BY47" s="81">
        <f t="shared" si="29"/>
        <v>105.87053644518892</v>
      </c>
      <c r="BZ47" s="269">
        <f t="shared" si="30"/>
        <v>2.569819958159815E-2</v>
      </c>
      <c r="CA47" s="103"/>
      <c r="CB47" s="80">
        <f>'TABLE 5 - DfE Published Figures'!J46</f>
        <v>815000</v>
      </c>
      <c r="CC47" s="84">
        <f t="shared" si="31"/>
        <v>5000</v>
      </c>
      <c r="CD47" s="81"/>
      <c r="CE47" s="81"/>
      <c r="CF47" s="81"/>
      <c r="CG47" s="81"/>
      <c r="CH47" s="2"/>
    </row>
    <row r="48" spans="2:86" ht="15.75">
      <c r="B48" s="198">
        <v>3222</v>
      </c>
      <c r="C48" s="60" t="s">
        <v>54</v>
      </c>
      <c r="D48" s="204"/>
      <c r="F48" s="80">
        <v>119</v>
      </c>
      <c r="G48" s="163"/>
      <c r="H48" s="164">
        <v>0</v>
      </c>
      <c r="I48" s="94">
        <f t="shared" si="0"/>
        <v>119</v>
      </c>
      <c r="J48" s="103"/>
      <c r="K48" s="80">
        <v>469448.13846046349</v>
      </c>
      <c r="L48" s="163"/>
      <c r="M48" s="163"/>
      <c r="N48" s="94">
        <f t="shared" si="1"/>
        <v>469448.13846046349</v>
      </c>
      <c r="O48" s="103"/>
      <c r="P48" s="80">
        <f>P$76*'TABLE 4 - October 2016 Dataset'!F48</f>
        <v>326891.81</v>
      </c>
      <c r="Q48" s="160"/>
      <c r="R48" s="161"/>
      <c r="S48" s="162">
        <f t="shared" si="3"/>
        <v>326891.81</v>
      </c>
      <c r="T48" s="165">
        <f>T$76*'TABLE 4 - October 2016 Dataset'!I48</f>
        <v>439.99999999999972</v>
      </c>
      <c r="U48" s="165">
        <f>U$76*'TABLE 4 - October 2016 Dataset'!J48</f>
        <v>2894.5945945945946</v>
      </c>
      <c r="V48" s="165">
        <f>V$76*'TABLE 4 - October 2016 Dataset'!K48</f>
        <v>0</v>
      </c>
      <c r="W48" s="165">
        <f>W$76*'TABLE 4 - October 2016 Dataset'!L48</f>
        <v>0</v>
      </c>
      <c r="X48" s="165">
        <f>X$76*'TABLE 4 - October 2016 Dataset'!M48</f>
        <v>0</v>
      </c>
      <c r="Y48" s="165">
        <f>Y$76*'TABLE 4 - October 2016 Dataset'!N48</f>
        <v>0</v>
      </c>
      <c r="Z48" s="165">
        <f>Z$76*'TABLE 4 - October 2016 Dataset'!O48</f>
        <v>0</v>
      </c>
      <c r="AA48" s="165">
        <f>AA$76*'TABLE 4 - October 2016 Dataset'!P48</f>
        <v>403.38983050847503</v>
      </c>
      <c r="AB48" s="162">
        <f t="shared" si="4"/>
        <v>3737.984425103069</v>
      </c>
      <c r="AC48" s="140">
        <f>AC$76*'TABLE 4 - October 2016 Dataset'!Q48</f>
        <v>32920.1149425287</v>
      </c>
      <c r="AD48" s="140">
        <f>AD$76*'TABLE 4 - October 2016 Dataset'!R48</f>
        <v>0</v>
      </c>
      <c r="AE48" s="140">
        <f>AE$76*'TABLE 4 - October 2016 Dataset'!S48</f>
        <v>0</v>
      </c>
      <c r="AF48" s="140">
        <f t="shared" si="5"/>
        <v>110000</v>
      </c>
      <c r="AG48" s="140">
        <f>IF('TABLE 4 - October 2016 Dataset'!X48="No",0,"*CHECK*")</f>
        <v>0</v>
      </c>
      <c r="AH48" s="140">
        <f>'TABLE 4 - October 2016 Dataset'!Y48</f>
        <v>8585.51</v>
      </c>
      <c r="AI48" s="170">
        <f>IF('TABLE 4 - October 2016 Dataset'!Z48&gt;0,('TABLE 4 - October 2016 Dataset'!Z48*(1+AI$79))-((AI$76*SUM('TABLE 4 - October 2016 Dataset'!F48:H48))+AI$77),0)</f>
        <v>0</v>
      </c>
      <c r="AJ48" s="166" t="str">
        <f>IF('TABLE 4 - October 2016 Dataset'!AA48="Yes",'TABLE 1 - 2018-19 Provisional'!AJ$76*SUM('TABLE 4 - October 2016 Dataset'!F48:H48),"")</f>
        <v/>
      </c>
      <c r="AK48" s="140">
        <f t="shared" si="6"/>
        <v>0</v>
      </c>
      <c r="AL48" s="94">
        <f t="shared" si="7"/>
        <v>482135.41936763178</v>
      </c>
      <c r="AM48" s="103"/>
      <c r="AN48" s="80">
        <f t="shared" si="8"/>
        <v>473549.90936763177</v>
      </c>
      <c r="AO48" s="165">
        <f>AN48/SUM('TABLE 4 - October 2016 Dataset'!F48:H48)</f>
        <v>3979.4110030893426</v>
      </c>
      <c r="AP48" s="165">
        <f t="shared" si="2"/>
        <v>0</v>
      </c>
      <c r="AQ48" s="165">
        <f>AP48*SUM('TABLE 4 - October 2016 Dataset'!F48:H48)</f>
        <v>0</v>
      </c>
      <c r="AR48" s="94">
        <f t="shared" si="9"/>
        <v>482135.41936763178</v>
      </c>
      <c r="AS48" s="103"/>
      <c r="AT48" s="80">
        <f>N48-(AF48+AG48+'TABLE 4 - October 2016 Dataset'!Y48)</f>
        <v>350862.62846046349</v>
      </c>
      <c r="AU48" s="187">
        <f t="shared" si="10"/>
        <v>363549.90936763177</v>
      </c>
      <c r="AV48" s="165">
        <f t="shared" si="11"/>
        <v>2948.4254492475925</v>
      </c>
      <c r="AW48" s="165">
        <f>AU48/SUM('TABLE 4 - October 2016 Dataset'!F48:H48)</f>
        <v>3055.0412551901832</v>
      </c>
      <c r="AX48" s="173">
        <f t="shared" si="12"/>
        <v>3.6160251557249889E-2</v>
      </c>
      <c r="AY48" s="173">
        <f t="shared" si="13"/>
        <v>0</v>
      </c>
      <c r="AZ48" s="175">
        <f t="shared" si="14"/>
        <v>0</v>
      </c>
      <c r="BA48" s="165">
        <f>AZ48*SUM('TABLE 4 - October 2016 Dataset'!F48:H48)</f>
        <v>0</v>
      </c>
      <c r="BB48" s="94">
        <f t="shared" si="15"/>
        <v>482135.41936763178</v>
      </c>
      <c r="BC48" s="103"/>
      <c r="BD48" s="184">
        <f>'TABLE 3 - Target Illustrative'!AR48-(AF48+AG48+AH48)</f>
        <v>363549.90936763177</v>
      </c>
      <c r="BE48" s="165">
        <f>BD48/SUM('TABLE 4 - October 2016 Dataset'!F48:H48)</f>
        <v>3055.0412551901832</v>
      </c>
      <c r="BF48" s="173">
        <f t="shared" si="16"/>
        <v>3.6160251557249889E-2</v>
      </c>
      <c r="BG48" s="185">
        <f t="shared" si="17"/>
        <v>7.2320503114499781E-3</v>
      </c>
      <c r="BH48" s="185">
        <f t="shared" si="18"/>
        <v>0.03</v>
      </c>
      <c r="BI48" s="173">
        <f t="shared" si="19"/>
        <v>-6.1602515572498906E-3</v>
      </c>
      <c r="BJ48" s="175">
        <f t="shared" si="20"/>
        <v>-18.16304246516269</v>
      </c>
      <c r="BK48" s="165">
        <f>BJ48*SUM('TABLE 4 - October 2016 Dataset'!F48:H48)</f>
        <v>-2161.4020533543599</v>
      </c>
      <c r="BL48" s="94">
        <f t="shared" si="21"/>
        <v>479974.01731427741</v>
      </c>
      <c r="BM48" s="103"/>
      <c r="BN48" s="179">
        <f t="shared" si="22"/>
        <v>471388.50731427741</v>
      </c>
      <c r="BO48" s="175">
        <f>BN48/SUM('TABLE 4 - October 2016 Dataset'!F48:H48)</f>
        <v>3961.24796062418</v>
      </c>
      <c r="BP48" s="175">
        <f t="shared" si="23"/>
        <v>0</v>
      </c>
      <c r="BQ48" s="175">
        <f>BP48*SUM('TABLE 4 - October 2016 Dataset'!F48:H48)</f>
        <v>0</v>
      </c>
      <c r="BR48" s="94">
        <f t="shared" si="24"/>
        <v>479974.01731427741</v>
      </c>
      <c r="BS48" s="103"/>
      <c r="BT48" s="80">
        <f t="shared" si="25"/>
        <v>469448.13846046349</v>
      </c>
      <c r="BU48" s="122">
        <f t="shared" si="26"/>
        <v>3944.942340003895</v>
      </c>
      <c r="BV48" s="264">
        <f t="shared" si="27"/>
        <v>479974.01731427741</v>
      </c>
      <c r="BW48" s="81">
        <f>BV48/SUM('TABLE 4 - October 2016 Dataset'!F48:H48)</f>
        <v>4033.3951034813226</v>
      </c>
      <c r="BX48" s="264">
        <f t="shared" si="28"/>
        <v>10525.87885381392</v>
      </c>
      <c r="BY48" s="81">
        <f t="shared" si="29"/>
        <v>88.452763477427652</v>
      </c>
      <c r="BZ48" s="269">
        <f t="shared" si="30"/>
        <v>2.2421814022594896E-2</v>
      </c>
      <c r="CA48" s="103"/>
      <c r="CB48" s="80">
        <f>'TABLE 5 - DfE Published Figures'!J47</f>
        <v>476000</v>
      </c>
      <c r="CC48" s="84">
        <f t="shared" si="31"/>
        <v>4000</v>
      </c>
      <c r="CD48" s="81"/>
      <c r="CE48" s="81"/>
      <c r="CF48" s="81"/>
      <c r="CG48" s="81"/>
      <c r="CH48" s="2"/>
    </row>
    <row r="49" spans="2:86" ht="15.75">
      <c r="B49" s="198">
        <v>3156</v>
      </c>
      <c r="C49" s="60" t="s">
        <v>55</v>
      </c>
      <c r="D49" s="204"/>
      <c r="F49" s="80">
        <v>304</v>
      </c>
      <c r="G49" s="108">
        <v>3</v>
      </c>
      <c r="H49" s="164">
        <v>0</v>
      </c>
      <c r="I49" s="94">
        <f t="shared" si="0"/>
        <v>307</v>
      </c>
      <c r="J49" s="103"/>
      <c r="K49" s="80">
        <v>1231351.8399002051</v>
      </c>
      <c r="L49" s="108">
        <v>9440.9354399999993</v>
      </c>
      <c r="M49" s="108">
        <v>50665.35</v>
      </c>
      <c r="N49" s="94">
        <f t="shared" si="1"/>
        <v>1291458.1253402052</v>
      </c>
      <c r="O49" s="103"/>
      <c r="P49" s="80">
        <f>P$76*'TABLE 4 - October 2016 Dataset'!F49</f>
        <v>843325.92999999993</v>
      </c>
      <c r="Q49" s="160"/>
      <c r="R49" s="161"/>
      <c r="S49" s="162">
        <f t="shared" si="3"/>
        <v>843325.92999999993</v>
      </c>
      <c r="T49" s="165">
        <f>T$76*'TABLE 4 - October 2016 Dataset'!I49</f>
        <v>3519.9999999999991</v>
      </c>
      <c r="U49" s="165">
        <f>U$76*'TABLE 4 - October 2016 Dataset'!J49</f>
        <v>17168.155339805828</v>
      </c>
      <c r="V49" s="165">
        <f>V$76*'TABLE 4 - October 2016 Dataset'!K49</f>
        <v>0</v>
      </c>
      <c r="W49" s="165">
        <f>W$76*'TABLE 4 - October 2016 Dataset'!L49</f>
        <v>0</v>
      </c>
      <c r="X49" s="165">
        <f>X$76*'TABLE 4 - October 2016 Dataset'!M49</f>
        <v>787.69736842105237</v>
      </c>
      <c r="Y49" s="165">
        <f>Y$76*'TABLE 4 - October 2016 Dataset'!N49</f>
        <v>0</v>
      </c>
      <c r="Z49" s="165">
        <f>Z$76*'TABLE 4 - October 2016 Dataset'!O49</f>
        <v>0</v>
      </c>
      <c r="AA49" s="165">
        <f>AA$76*'TABLE 4 - October 2016 Dataset'!P49</f>
        <v>605.92105263157907</v>
      </c>
      <c r="AB49" s="162">
        <f t="shared" si="4"/>
        <v>22081.773760858461</v>
      </c>
      <c r="AC49" s="140">
        <f>AC$76*'TABLE 4 - October 2016 Dataset'!Q49</f>
        <v>80901.921119592924</v>
      </c>
      <c r="AD49" s="140">
        <f>AD$76*'TABLE 4 - October 2016 Dataset'!R49</f>
        <v>28362.347328244239</v>
      </c>
      <c r="AE49" s="140">
        <f>AE$76*'TABLE 4 - October 2016 Dataset'!S49</f>
        <v>5901.3000000001075</v>
      </c>
      <c r="AF49" s="140">
        <f t="shared" si="5"/>
        <v>110000</v>
      </c>
      <c r="AG49" s="140">
        <f>IF('TABLE 4 - October 2016 Dataset'!X49="No",0,"*CHECK*")</f>
        <v>0</v>
      </c>
      <c r="AH49" s="140">
        <f>'TABLE 4 - October 2016 Dataset'!Y49</f>
        <v>39120</v>
      </c>
      <c r="AI49" s="140">
        <f>IF('TABLE 4 - October 2016 Dataset'!Z49&gt;0,('TABLE 4 - October 2016 Dataset'!Z49*(1+AI$79))-((AI$76*SUM('TABLE 4 - October 2016 Dataset'!F49:H49))+AI$77),0)</f>
        <v>255047.30999999997</v>
      </c>
      <c r="AJ49" s="166" t="str">
        <f>IF('TABLE 4 - October 2016 Dataset'!AA49="Yes",'TABLE 1 - 2018-19 Provisional'!AJ$76*SUM('TABLE 4 - October 2016 Dataset'!F49:H49),"")</f>
        <v/>
      </c>
      <c r="AK49" s="140">
        <f t="shared" si="6"/>
        <v>0</v>
      </c>
      <c r="AL49" s="94">
        <f t="shared" si="7"/>
        <v>1384740.5822086958</v>
      </c>
      <c r="AM49" s="103"/>
      <c r="AN49" s="80">
        <f t="shared" si="8"/>
        <v>1090573.2722086958</v>
      </c>
      <c r="AO49" s="165">
        <f>AN49/SUM('TABLE 4 - October 2016 Dataset'!F49:H49)</f>
        <v>3552.3559355332109</v>
      </c>
      <c r="AP49" s="165">
        <f t="shared" si="2"/>
        <v>0</v>
      </c>
      <c r="AQ49" s="165">
        <f>AP49*SUM('TABLE 4 - October 2016 Dataset'!F49:H49)</f>
        <v>0</v>
      </c>
      <c r="AR49" s="94">
        <f t="shared" si="9"/>
        <v>1384740.5822086958</v>
      </c>
      <c r="AS49" s="103"/>
      <c r="AT49" s="80">
        <f>N49-(AF49+AG49+'TABLE 4 - October 2016 Dataset'!Y49)</f>
        <v>1142338.1253402052</v>
      </c>
      <c r="AU49" s="187">
        <f t="shared" si="10"/>
        <v>1235620.5822086958</v>
      </c>
      <c r="AV49" s="165">
        <f t="shared" si="11"/>
        <v>3720.9710923133716</v>
      </c>
      <c r="AW49" s="165">
        <f>AU49/SUM('TABLE 4 - October 2016 Dataset'!F49:H49)</f>
        <v>4024.8227433508009</v>
      </c>
      <c r="AX49" s="173">
        <f t="shared" si="12"/>
        <v>8.1659234511419099E-2</v>
      </c>
      <c r="AY49" s="173">
        <f t="shared" si="13"/>
        <v>0</v>
      </c>
      <c r="AZ49" s="175">
        <f t="shared" si="14"/>
        <v>0</v>
      </c>
      <c r="BA49" s="165">
        <f>AZ49*SUM('TABLE 4 - October 2016 Dataset'!F49:H49)</f>
        <v>0</v>
      </c>
      <c r="BB49" s="94">
        <f t="shared" si="15"/>
        <v>1384740.5822086958</v>
      </c>
      <c r="BC49" s="103"/>
      <c r="BD49" s="184">
        <f>'TABLE 3 - Target Illustrative'!AR49-(AF49+AG49+AH49)</f>
        <v>1246988.8566086958</v>
      </c>
      <c r="BE49" s="165">
        <f>BD49/SUM('TABLE 4 - October 2016 Dataset'!F49:H49)</f>
        <v>4061.8529531227878</v>
      </c>
      <c r="BF49" s="173">
        <f t="shared" si="16"/>
        <v>9.1610994106779309E-2</v>
      </c>
      <c r="BG49" s="185">
        <f t="shared" si="17"/>
        <v>1.8322198821355863E-2</v>
      </c>
      <c r="BH49" s="185">
        <f t="shared" si="18"/>
        <v>0.03</v>
      </c>
      <c r="BI49" s="173">
        <f t="shared" si="19"/>
        <v>-5.16592345114191E-2</v>
      </c>
      <c r="BJ49" s="175">
        <f t="shared" si="20"/>
        <v>-192.22251826802776</v>
      </c>
      <c r="BK49" s="165">
        <f>BJ49*SUM('TABLE 4 - October 2016 Dataset'!F49:H49)</f>
        <v>-59012.313108284521</v>
      </c>
      <c r="BL49" s="94">
        <f t="shared" si="21"/>
        <v>1325728.2691004113</v>
      </c>
      <c r="BM49" s="103"/>
      <c r="BN49" s="179">
        <f t="shared" si="22"/>
        <v>1031560.9591004114</v>
      </c>
      <c r="BO49" s="175">
        <f>BN49/SUM('TABLE 4 - October 2016 Dataset'!F49:H49)</f>
        <v>3360.1334172651837</v>
      </c>
      <c r="BP49" s="175">
        <f t="shared" si="23"/>
        <v>0</v>
      </c>
      <c r="BQ49" s="175">
        <f>BP49*SUM('TABLE 4 - October 2016 Dataset'!F49:H49)</f>
        <v>0</v>
      </c>
      <c r="BR49" s="94">
        <f t="shared" si="24"/>
        <v>1325728.2691004113</v>
      </c>
      <c r="BS49" s="103"/>
      <c r="BT49" s="80">
        <f t="shared" si="25"/>
        <v>1291458.1253402052</v>
      </c>
      <c r="BU49" s="122">
        <f t="shared" si="26"/>
        <v>4206.7039913361732</v>
      </c>
      <c r="BV49" s="264">
        <f t="shared" si="27"/>
        <v>1325728.2691004113</v>
      </c>
      <c r="BW49" s="81">
        <f>BV49/SUM('TABLE 4 - October 2016 Dataset'!F49:H49)</f>
        <v>4318.3331241055739</v>
      </c>
      <c r="BX49" s="264">
        <f t="shared" si="28"/>
        <v>34270.143760206178</v>
      </c>
      <c r="BY49" s="81">
        <f t="shared" si="29"/>
        <v>111.62913276940071</v>
      </c>
      <c r="BZ49" s="269">
        <f t="shared" si="30"/>
        <v>2.6536008475829081E-2</v>
      </c>
      <c r="CA49" s="103"/>
      <c r="CB49" s="80">
        <f>'TABLE 5 - DfE Published Figures'!J48</f>
        <v>1367000</v>
      </c>
      <c r="CC49" s="84">
        <f t="shared" si="31"/>
        <v>-41000</v>
      </c>
      <c r="CD49" s="81"/>
      <c r="CE49" s="81"/>
      <c r="CF49" s="81"/>
      <c r="CG49" s="81"/>
      <c r="CH49" s="2"/>
    </row>
    <row r="50" spans="2:86" ht="15.75">
      <c r="B50" s="198">
        <v>3003</v>
      </c>
      <c r="C50" s="60" t="s">
        <v>56</v>
      </c>
      <c r="D50" s="204"/>
      <c r="F50" s="80">
        <v>173</v>
      </c>
      <c r="G50" s="163"/>
      <c r="H50" s="164">
        <v>-1</v>
      </c>
      <c r="I50" s="94">
        <f t="shared" si="0"/>
        <v>172</v>
      </c>
      <c r="J50" s="103"/>
      <c r="K50" s="80">
        <v>622869.73355978576</v>
      </c>
      <c r="L50" s="163"/>
      <c r="M50" s="163"/>
      <c r="N50" s="94">
        <f t="shared" si="1"/>
        <v>622869.73355978576</v>
      </c>
      <c r="O50" s="103"/>
      <c r="P50" s="80">
        <f>P$76*'TABLE 4 - October 2016 Dataset'!F50</f>
        <v>472482.27999999997</v>
      </c>
      <c r="Q50" s="160"/>
      <c r="R50" s="161"/>
      <c r="S50" s="162">
        <f t="shared" si="3"/>
        <v>472482.27999999997</v>
      </c>
      <c r="T50" s="165">
        <f>T$76*'TABLE 4 - October 2016 Dataset'!I50</f>
        <v>4399.9999999999973</v>
      </c>
      <c r="U50" s="165">
        <f>U$76*'TABLE 4 - October 2016 Dataset'!J50</f>
        <v>10800</v>
      </c>
      <c r="V50" s="165">
        <f>V$76*'TABLE 4 - October 2016 Dataset'!K50</f>
        <v>0</v>
      </c>
      <c r="W50" s="165">
        <f>W$76*'TABLE 4 - October 2016 Dataset'!L50</f>
        <v>0</v>
      </c>
      <c r="X50" s="165">
        <f>X$76*'TABLE 4 - October 2016 Dataset'!M50</f>
        <v>784.56140350876933</v>
      </c>
      <c r="Y50" s="165">
        <f>Y$76*'TABLE 4 - October 2016 Dataset'!N50</f>
        <v>724.21052631578709</v>
      </c>
      <c r="Z50" s="165">
        <f>Z$76*'TABLE 4 - October 2016 Dataset'!O50</f>
        <v>2896.8421052631566</v>
      </c>
      <c r="AA50" s="165">
        <f>AA$76*'TABLE 4 - October 2016 Dataset'!P50</f>
        <v>804.67836257310023</v>
      </c>
      <c r="AB50" s="162">
        <f t="shared" si="4"/>
        <v>20410.292397660811</v>
      </c>
      <c r="AC50" s="140">
        <f>AC$76*'TABLE 4 - October 2016 Dataset'!Q50</f>
        <v>45026.724975704572</v>
      </c>
      <c r="AD50" s="140">
        <f>AD$76*'TABLE 4 - October 2016 Dataset'!R50</f>
        <v>6025.8503401360513</v>
      </c>
      <c r="AE50" s="140">
        <f>AE$76*'TABLE 4 - October 2016 Dataset'!S50</f>
        <v>0</v>
      </c>
      <c r="AF50" s="140">
        <f t="shared" si="5"/>
        <v>110000</v>
      </c>
      <c r="AG50" s="140">
        <f>IF('TABLE 4 - October 2016 Dataset'!X50="No",0,"*CHECK*")</f>
        <v>0</v>
      </c>
      <c r="AH50" s="140">
        <f>'TABLE 4 - October 2016 Dataset'!Y50</f>
        <v>6791.53</v>
      </c>
      <c r="AI50" s="170">
        <f>IF('TABLE 4 - October 2016 Dataset'!Z50&gt;0,('TABLE 4 - October 2016 Dataset'!Z50*(1+AI$79))-((AI$76*SUM('TABLE 4 - October 2016 Dataset'!F50:H50))+AI$77),0)</f>
        <v>0</v>
      </c>
      <c r="AJ50" s="166" t="str">
        <f>IF('TABLE 4 - October 2016 Dataset'!AA50="Yes",'TABLE 1 - 2018-19 Provisional'!AJ$76*SUM('TABLE 4 - October 2016 Dataset'!F50:H50),"")</f>
        <v/>
      </c>
      <c r="AK50" s="140">
        <f t="shared" si="6"/>
        <v>0</v>
      </c>
      <c r="AL50" s="94">
        <f t="shared" si="7"/>
        <v>660736.6777135015</v>
      </c>
      <c r="AM50" s="103"/>
      <c r="AN50" s="80">
        <f t="shared" si="8"/>
        <v>653945.14771350147</v>
      </c>
      <c r="AO50" s="165">
        <f>AN50/SUM('TABLE 4 - October 2016 Dataset'!F50:H50)</f>
        <v>3802.0066727529156</v>
      </c>
      <c r="AP50" s="165">
        <f t="shared" si="2"/>
        <v>0</v>
      </c>
      <c r="AQ50" s="165">
        <f>AP50*SUM('TABLE 4 - October 2016 Dataset'!F50:H50)</f>
        <v>0</v>
      </c>
      <c r="AR50" s="94">
        <f t="shared" si="9"/>
        <v>660736.6777135015</v>
      </c>
      <c r="AS50" s="103"/>
      <c r="AT50" s="80">
        <f>N50-(AF50+AG50+'TABLE 4 - October 2016 Dataset'!Y50)</f>
        <v>506078.20355978573</v>
      </c>
      <c r="AU50" s="187">
        <f t="shared" si="10"/>
        <v>543945.14771350147</v>
      </c>
      <c r="AV50" s="165">
        <f t="shared" si="11"/>
        <v>2942.3151369754983</v>
      </c>
      <c r="AW50" s="165">
        <f>AU50/SUM('TABLE 4 - October 2016 Dataset'!F50:H50)</f>
        <v>3162.4717890319853</v>
      </c>
      <c r="AX50" s="173">
        <f t="shared" si="12"/>
        <v>7.4824293730410218E-2</v>
      </c>
      <c r="AY50" s="173">
        <f t="shared" si="13"/>
        <v>0</v>
      </c>
      <c r="AZ50" s="175">
        <f t="shared" si="14"/>
        <v>0</v>
      </c>
      <c r="BA50" s="165">
        <f>AZ50*SUM('TABLE 4 - October 2016 Dataset'!F50:H50)</f>
        <v>0</v>
      </c>
      <c r="BB50" s="94">
        <f t="shared" si="15"/>
        <v>660736.6777135015</v>
      </c>
      <c r="BC50" s="103"/>
      <c r="BD50" s="184">
        <f>'TABLE 3 - Target Illustrative'!AR50-(AF50+AG50+AH50)</f>
        <v>543945.14771350147</v>
      </c>
      <c r="BE50" s="165">
        <f>BD50/SUM('TABLE 4 - October 2016 Dataset'!F50:H50)</f>
        <v>3162.4717890319853</v>
      </c>
      <c r="BF50" s="173">
        <f t="shared" si="16"/>
        <v>7.4824293730410218E-2</v>
      </c>
      <c r="BG50" s="185">
        <f t="shared" si="17"/>
        <v>1.4964858746082044E-2</v>
      </c>
      <c r="BH50" s="185">
        <f t="shared" si="18"/>
        <v>0.03</v>
      </c>
      <c r="BI50" s="173">
        <f t="shared" si="19"/>
        <v>-4.482429373041022E-2</v>
      </c>
      <c r="BJ50" s="175">
        <f t="shared" si="20"/>
        <v>-131.88719794722192</v>
      </c>
      <c r="BK50" s="165">
        <f>BJ50*SUM('TABLE 4 - October 2016 Dataset'!F50:H50)</f>
        <v>-22684.598046922169</v>
      </c>
      <c r="BL50" s="94">
        <f t="shared" si="21"/>
        <v>638052.07966657938</v>
      </c>
      <c r="BM50" s="103"/>
      <c r="BN50" s="179">
        <f t="shared" si="22"/>
        <v>631260.54966657935</v>
      </c>
      <c r="BO50" s="175">
        <f>BN50/SUM('TABLE 4 - October 2016 Dataset'!F50:H50)</f>
        <v>3670.1194748056937</v>
      </c>
      <c r="BP50" s="175">
        <f t="shared" si="23"/>
        <v>0</v>
      </c>
      <c r="BQ50" s="175">
        <f>BP50*SUM('TABLE 4 - October 2016 Dataset'!F50:H50)</f>
        <v>0</v>
      </c>
      <c r="BR50" s="94">
        <f t="shared" si="24"/>
        <v>638052.07966657938</v>
      </c>
      <c r="BS50" s="103"/>
      <c r="BT50" s="80">
        <f t="shared" si="25"/>
        <v>622869.73355978576</v>
      </c>
      <c r="BU50" s="122">
        <f t="shared" si="26"/>
        <v>3621.3356602313124</v>
      </c>
      <c r="BV50" s="264">
        <f t="shared" si="27"/>
        <v>638052.07966657938</v>
      </c>
      <c r="BW50" s="81">
        <f>BV50/SUM('TABLE 4 - October 2016 Dataset'!F50:H50)</f>
        <v>3709.605114340578</v>
      </c>
      <c r="BX50" s="264">
        <f t="shared" si="28"/>
        <v>15182.346106793615</v>
      </c>
      <c r="BY50" s="81">
        <f t="shared" si="29"/>
        <v>88.269454109265553</v>
      </c>
      <c r="BZ50" s="269">
        <f t="shared" si="30"/>
        <v>2.4374833594858574E-2</v>
      </c>
      <c r="CA50" s="103"/>
      <c r="CB50" s="80">
        <f>'TABLE 5 - DfE Published Figures'!J49</f>
        <v>638000</v>
      </c>
      <c r="CC50" s="84">
        <f t="shared" si="31"/>
        <v>0</v>
      </c>
      <c r="CD50" s="81"/>
      <c r="CE50" s="81"/>
      <c r="CF50" s="81"/>
      <c r="CG50" s="81"/>
      <c r="CH50" s="2"/>
    </row>
    <row r="51" spans="2:86" ht="15.75">
      <c r="B51" s="198">
        <v>3403</v>
      </c>
      <c r="C51" s="60" t="s">
        <v>68</v>
      </c>
      <c r="D51" s="204"/>
      <c r="F51" s="80">
        <v>263</v>
      </c>
      <c r="G51" s="163"/>
      <c r="H51" s="164">
        <v>0</v>
      </c>
      <c r="I51" s="94">
        <f t="shared" si="0"/>
        <v>263</v>
      </c>
      <c r="J51" s="103"/>
      <c r="K51" s="80">
        <v>925773.69680843712</v>
      </c>
      <c r="L51" s="163"/>
      <c r="M51" s="163"/>
      <c r="N51" s="94">
        <f t="shared" si="1"/>
        <v>925773.69680843712</v>
      </c>
      <c r="O51" s="103"/>
      <c r="P51" s="80">
        <f>P$76*'TABLE 4 - October 2016 Dataset'!F51</f>
        <v>722458.37</v>
      </c>
      <c r="Q51" s="160"/>
      <c r="R51" s="161"/>
      <c r="S51" s="162">
        <f t="shared" si="3"/>
        <v>722458.37</v>
      </c>
      <c r="T51" s="165">
        <f>T$76*'TABLE 4 - October 2016 Dataset'!I51</f>
        <v>4839.9999999999973</v>
      </c>
      <c r="U51" s="165">
        <f>U$76*'TABLE 4 - October 2016 Dataset'!J51</f>
        <v>15425.393258426966</v>
      </c>
      <c r="V51" s="165">
        <f>V$76*'TABLE 4 - October 2016 Dataset'!K51</f>
        <v>0</v>
      </c>
      <c r="W51" s="165">
        <f>W$76*'TABLE 4 - October 2016 Dataset'!L51</f>
        <v>2149.0272373540815</v>
      </c>
      <c r="X51" s="165">
        <f>X$76*'TABLE 4 - October 2016 Dataset'!M51</f>
        <v>1197.31517509728</v>
      </c>
      <c r="Y51" s="165">
        <f>Y$76*'TABLE 4 - October 2016 Dataset'!N51</f>
        <v>8104.9027237354067</v>
      </c>
      <c r="Z51" s="165">
        <f>Z$76*'TABLE 4 - October 2016 Dataset'!O51</f>
        <v>491.20622568093427</v>
      </c>
      <c r="AA51" s="165">
        <f>AA$76*'TABLE 4 - October 2016 Dataset'!P51</f>
        <v>10233.463035019435</v>
      </c>
      <c r="AB51" s="162">
        <f t="shared" si="4"/>
        <v>42441.3076553141</v>
      </c>
      <c r="AC51" s="140">
        <f>AC$76*'TABLE 4 - October 2016 Dataset'!Q51</f>
        <v>102001.45708298848</v>
      </c>
      <c r="AD51" s="140">
        <f>AD$76*'TABLE 4 - October 2016 Dataset'!R51</f>
        <v>32047.254464285732</v>
      </c>
      <c r="AE51" s="140">
        <f>AE$76*'TABLE 4 - October 2016 Dataset'!S51</f>
        <v>0</v>
      </c>
      <c r="AF51" s="140">
        <f t="shared" si="5"/>
        <v>110000</v>
      </c>
      <c r="AG51" s="140">
        <f>IF('TABLE 4 - October 2016 Dataset'!X51="No",0,"*CHECK*")</f>
        <v>0</v>
      </c>
      <c r="AH51" s="140">
        <f>'TABLE 4 - October 2016 Dataset'!Y51</f>
        <v>3672</v>
      </c>
      <c r="AI51" s="170">
        <f>IF('TABLE 4 - October 2016 Dataset'!Z51&gt;0,('TABLE 4 - October 2016 Dataset'!Z51*(1+AI$79))-((AI$76*SUM('TABLE 4 - October 2016 Dataset'!F51:H51))+AI$77),0)</f>
        <v>0</v>
      </c>
      <c r="AJ51" s="166" t="str">
        <f>IF('TABLE 4 - October 2016 Dataset'!AA51="Yes",'TABLE 1 - 2018-19 Provisional'!AJ$76*SUM('TABLE 4 - October 2016 Dataset'!F51:H51),"")</f>
        <v/>
      </c>
      <c r="AK51" s="140">
        <f t="shared" si="6"/>
        <v>0</v>
      </c>
      <c r="AL51" s="94">
        <f t="shared" si="7"/>
        <v>1012620.3892025882</v>
      </c>
      <c r="AM51" s="103"/>
      <c r="AN51" s="80">
        <f t="shared" si="8"/>
        <v>1008948.3892025882</v>
      </c>
      <c r="AO51" s="165">
        <f>AN51/SUM('TABLE 4 - October 2016 Dataset'!F51:H51)</f>
        <v>3836.3056623672555</v>
      </c>
      <c r="AP51" s="165">
        <f t="shared" si="2"/>
        <v>0</v>
      </c>
      <c r="AQ51" s="165">
        <f>AP51*SUM('TABLE 4 - October 2016 Dataset'!F51:H51)</f>
        <v>0</v>
      </c>
      <c r="AR51" s="94">
        <f t="shared" si="9"/>
        <v>1012620.3892025882</v>
      </c>
      <c r="AS51" s="103"/>
      <c r="AT51" s="80">
        <f>N51-(AF51+AG51+'TABLE 4 - October 2016 Dataset'!Y51)</f>
        <v>812101.69680843712</v>
      </c>
      <c r="AU51" s="187">
        <f t="shared" si="10"/>
        <v>898948.38920258824</v>
      </c>
      <c r="AV51" s="165">
        <f t="shared" si="11"/>
        <v>3087.839151362879</v>
      </c>
      <c r="AW51" s="165">
        <f>AU51/SUM('TABLE 4 - October 2016 Dataset'!F51:H51)</f>
        <v>3418.0547117969136</v>
      </c>
      <c r="AX51" s="173">
        <f t="shared" si="12"/>
        <v>0.10694066117021905</v>
      </c>
      <c r="AY51" s="173">
        <f t="shared" si="13"/>
        <v>0</v>
      </c>
      <c r="AZ51" s="175">
        <f t="shared" si="14"/>
        <v>0</v>
      </c>
      <c r="BA51" s="165">
        <f>AZ51*SUM('TABLE 4 - October 2016 Dataset'!F51:H51)</f>
        <v>0</v>
      </c>
      <c r="BB51" s="94">
        <f t="shared" si="15"/>
        <v>1012620.3892025882</v>
      </c>
      <c r="BC51" s="103"/>
      <c r="BD51" s="184">
        <f>'TABLE 3 - Target Illustrative'!AR51-(AF51+AG51+AH51)</f>
        <v>898948.38920258824</v>
      </c>
      <c r="BE51" s="165">
        <f>BD51/SUM('TABLE 4 - October 2016 Dataset'!F51:H51)</f>
        <v>3418.0547117969136</v>
      </c>
      <c r="BF51" s="173">
        <f t="shared" si="16"/>
        <v>0.10694066117021905</v>
      </c>
      <c r="BG51" s="185">
        <f t="shared" si="17"/>
        <v>2.1388132234043813E-2</v>
      </c>
      <c r="BH51" s="185">
        <f t="shared" si="18"/>
        <v>0.03</v>
      </c>
      <c r="BI51" s="173">
        <f t="shared" si="19"/>
        <v>-7.6940661170219055E-2</v>
      </c>
      <c r="BJ51" s="175">
        <f t="shared" si="20"/>
        <v>-237.58038589314802</v>
      </c>
      <c r="BK51" s="165">
        <f>BJ51*SUM('TABLE 4 - October 2016 Dataset'!F51:H51)</f>
        <v>-62483.641489897927</v>
      </c>
      <c r="BL51" s="94">
        <f t="shared" si="21"/>
        <v>950136.74771269027</v>
      </c>
      <c r="BM51" s="103"/>
      <c r="BN51" s="179">
        <f t="shared" si="22"/>
        <v>946464.74771269027</v>
      </c>
      <c r="BO51" s="175">
        <f>BN51/SUM('TABLE 4 - October 2016 Dataset'!F51:H51)</f>
        <v>3598.7252764741074</v>
      </c>
      <c r="BP51" s="175">
        <f t="shared" si="23"/>
        <v>0</v>
      </c>
      <c r="BQ51" s="175">
        <f>BP51*SUM('TABLE 4 - October 2016 Dataset'!F51:H51)</f>
        <v>0</v>
      </c>
      <c r="BR51" s="94">
        <f t="shared" si="24"/>
        <v>950136.74771269027</v>
      </c>
      <c r="BS51" s="103"/>
      <c r="BT51" s="80">
        <f t="shared" si="25"/>
        <v>925773.69680843712</v>
      </c>
      <c r="BU51" s="122">
        <f t="shared" si="26"/>
        <v>3520.0520791195327</v>
      </c>
      <c r="BV51" s="264">
        <f t="shared" si="27"/>
        <v>950136.74771269027</v>
      </c>
      <c r="BW51" s="81">
        <f>BV51/SUM('TABLE 4 - October 2016 Dataset'!F51:H51)</f>
        <v>3612.6872536604192</v>
      </c>
      <c r="BX51" s="264">
        <f t="shared" si="28"/>
        <v>24363.050904253148</v>
      </c>
      <c r="BY51" s="81">
        <f t="shared" si="29"/>
        <v>92.63517454088651</v>
      </c>
      <c r="BZ51" s="269">
        <f t="shared" si="30"/>
        <v>2.6316421592278618E-2</v>
      </c>
      <c r="CA51" s="103"/>
      <c r="CB51" s="80">
        <f>'TABLE 5 - DfE Published Figures'!J50</f>
        <v>940000</v>
      </c>
      <c r="CC51" s="84">
        <f t="shared" si="31"/>
        <v>10000</v>
      </c>
      <c r="CD51" s="81"/>
      <c r="CE51" s="81"/>
      <c r="CF51" s="81"/>
      <c r="CG51" s="81"/>
      <c r="CH51" s="2"/>
    </row>
    <row r="52" spans="2:86" ht="15.75">
      <c r="B52" s="198">
        <v>2227</v>
      </c>
      <c r="C52" s="60" t="s">
        <v>57</v>
      </c>
      <c r="D52" s="204"/>
      <c r="F52" s="80">
        <v>92</v>
      </c>
      <c r="G52" s="163"/>
      <c r="H52" s="164">
        <v>0</v>
      </c>
      <c r="I52" s="94">
        <f t="shared" si="0"/>
        <v>92</v>
      </c>
      <c r="J52" s="103"/>
      <c r="K52" s="80">
        <v>422169.52478015906</v>
      </c>
      <c r="L52" s="163"/>
      <c r="M52" s="163"/>
      <c r="N52" s="94">
        <f t="shared" si="1"/>
        <v>422169.52478015906</v>
      </c>
      <c r="O52" s="103"/>
      <c r="P52" s="80">
        <f>P$76*'TABLE 4 - October 2016 Dataset'!F52</f>
        <v>252723.08</v>
      </c>
      <c r="Q52" s="160"/>
      <c r="R52" s="161"/>
      <c r="S52" s="162">
        <f t="shared" si="3"/>
        <v>252723.08</v>
      </c>
      <c r="T52" s="165">
        <f>T$76*'TABLE 4 - October 2016 Dataset'!I52</f>
        <v>1759.9999999999993</v>
      </c>
      <c r="U52" s="165">
        <f>U$76*'TABLE 4 - October 2016 Dataset'!J52</f>
        <v>7728</v>
      </c>
      <c r="V52" s="165">
        <f>V$76*'TABLE 4 - October 2016 Dataset'!K52</f>
        <v>0</v>
      </c>
      <c r="W52" s="165">
        <f>W$76*'TABLE 4 - October 2016 Dataset'!L52</f>
        <v>419.99999999999989</v>
      </c>
      <c r="X52" s="165">
        <f>X$76*'TABLE 4 - October 2016 Dataset'!M52</f>
        <v>0</v>
      </c>
      <c r="Y52" s="165">
        <f>Y$76*'TABLE 4 - October 2016 Dataset'!N52</f>
        <v>719.99999999999977</v>
      </c>
      <c r="Z52" s="165">
        <f>Z$76*'TABLE 4 - October 2016 Dataset'!O52</f>
        <v>0</v>
      </c>
      <c r="AA52" s="165">
        <f>AA$76*'TABLE 4 - October 2016 Dataset'!P52</f>
        <v>1199.9999999999995</v>
      </c>
      <c r="AB52" s="162">
        <f t="shared" si="4"/>
        <v>11828</v>
      </c>
      <c r="AC52" s="140">
        <f>AC$76*'TABLE 4 - October 2016 Dataset'!Q52</f>
        <v>40764.473684210549</v>
      </c>
      <c r="AD52" s="140">
        <f>AD$76*'TABLE 4 - October 2016 Dataset'!R52</f>
        <v>0</v>
      </c>
      <c r="AE52" s="140">
        <f>AE$76*'TABLE 4 - October 2016 Dataset'!S52</f>
        <v>0</v>
      </c>
      <c r="AF52" s="140">
        <f t="shared" si="5"/>
        <v>110000</v>
      </c>
      <c r="AG52" s="140">
        <f>IF('TABLE 4 - October 2016 Dataset'!X52="No",0,"*CHECK*")</f>
        <v>0</v>
      </c>
      <c r="AH52" s="140">
        <f>'TABLE 4 - October 2016 Dataset'!Y52</f>
        <v>6681.4</v>
      </c>
      <c r="AI52" s="170">
        <f>IF('TABLE 4 - October 2016 Dataset'!Z52&gt;0,('TABLE 4 - October 2016 Dataset'!Z52*(1+AI$79))-((AI$76*SUM('TABLE 4 - October 2016 Dataset'!F52:H52))+AI$77),0)</f>
        <v>0</v>
      </c>
      <c r="AJ52" s="166" t="str">
        <f>IF('TABLE 4 - October 2016 Dataset'!AA52="Yes",'TABLE 1 - 2018-19 Provisional'!AJ$76*SUM('TABLE 4 - October 2016 Dataset'!F52:H52),"")</f>
        <v/>
      </c>
      <c r="AK52" s="140">
        <f t="shared" si="6"/>
        <v>0</v>
      </c>
      <c r="AL52" s="94">
        <f t="shared" si="7"/>
        <v>421996.95368421054</v>
      </c>
      <c r="AM52" s="103"/>
      <c r="AN52" s="80">
        <f t="shared" si="8"/>
        <v>415315.55368421052</v>
      </c>
      <c r="AO52" s="165">
        <f>AN52/SUM('TABLE 4 - October 2016 Dataset'!F52:H52)</f>
        <v>4514.2994965675052</v>
      </c>
      <c r="AP52" s="165">
        <f t="shared" si="2"/>
        <v>0</v>
      </c>
      <c r="AQ52" s="165">
        <f>AP52*SUM('TABLE 4 - October 2016 Dataset'!F52:H52)</f>
        <v>0</v>
      </c>
      <c r="AR52" s="94">
        <f t="shared" si="9"/>
        <v>421996.95368421054</v>
      </c>
      <c r="AS52" s="103"/>
      <c r="AT52" s="80">
        <f>N52-(AF52+AG52+'TABLE 4 - October 2016 Dataset'!Y52)</f>
        <v>305488.12478015909</v>
      </c>
      <c r="AU52" s="187">
        <f t="shared" si="10"/>
        <v>305315.55368421052</v>
      </c>
      <c r="AV52" s="165">
        <f t="shared" si="11"/>
        <v>3320.523095436512</v>
      </c>
      <c r="AW52" s="165">
        <f>AU52/SUM('TABLE 4 - October 2016 Dataset'!F52:H52)</f>
        <v>3318.6473226544622</v>
      </c>
      <c r="AX52" s="173">
        <f t="shared" si="12"/>
        <v>-5.6490279637799734E-4</v>
      </c>
      <c r="AY52" s="173">
        <f t="shared" si="13"/>
        <v>5.5649027963779974E-3</v>
      </c>
      <c r="AZ52" s="175">
        <f t="shared" si="14"/>
        <v>18.478388259232371</v>
      </c>
      <c r="BA52" s="165">
        <f>AZ52*SUM('TABLE 4 - October 2016 Dataset'!F52:H52)</f>
        <v>1700.0117198493781</v>
      </c>
      <c r="BB52" s="94">
        <f t="shared" si="15"/>
        <v>423696.96540405991</v>
      </c>
      <c r="BC52" s="103"/>
      <c r="BD52" s="184">
        <f>'TABLE 3 - Target Illustrative'!AR52-(AF52+AG52+AH52)</f>
        <v>305315.55368421052</v>
      </c>
      <c r="BE52" s="165">
        <f>BD52/SUM('TABLE 4 - October 2016 Dataset'!F52:H52)</f>
        <v>3318.6473226544622</v>
      </c>
      <c r="BF52" s="173">
        <f t="shared" si="16"/>
        <v>-5.6490279637799734E-4</v>
      </c>
      <c r="BG52" s="185" t="str">
        <f t="shared" si="17"/>
        <v xml:space="preserve">            NA</v>
      </c>
      <c r="BH52" s="185">
        <f t="shared" si="18"/>
        <v>5.0000000000000001E-3</v>
      </c>
      <c r="BI52" s="173">
        <f t="shared" si="19"/>
        <v>0</v>
      </c>
      <c r="BJ52" s="175">
        <f t="shared" si="20"/>
        <v>0</v>
      </c>
      <c r="BK52" s="165">
        <f>BJ52*SUM('TABLE 4 - October 2016 Dataset'!F52:H52)</f>
        <v>0</v>
      </c>
      <c r="BL52" s="94">
        <f t="shared" si="21"/>
        <v>423696.96540405991</v>
      </c>
      <c r="BM52" s="103"/>
      <c r="BN52" s="179">
        <f t="shared" si="22"/>
        <v>417015.56540405989</v>
      </c>
      <c r="BO52" s="175">
        <f>BN52/SUM('TABLE 4 - October 2016 Dataset'!F52:H52)</f>
        <v>4532.777884826738</v>
      </c>
      <c r="BP52" s="175">
        <f t="shared" si="23"/>
        <v>0</v>
      </c>
      <c r="BQ52" s="175">
        <f>BP52*SUM('TABLE 4 - October 2016 Dataset'!F52:H52)</f>
        <v>0</v>
      </c>
      <c r="BR52" s="94">
        <f t="shared" si="24"/>
        <v>423696.96540405991</v>
      </c>
      <c r="BS52" s="103"/>
      <c r="BT52" s="80">
        <f t="shared" si="25"/>
        <v>422169.52478015906</v>
      </c>
      <c r="BU52" s="122">
        <f t="shared" si="26"/>
        <v>4588.7991823930333</v>
      </c>
      <c r="BV52" s="264">
        <f t="shared" si="27"/>
        <v>423696.96540405991</v>
      </c>
      <c r="BW52" s="81">
        <f>BV52/SUM('TABLE 4 - October 2016 Dataset'!F52:H52)</f>
        <v>4605.4017978702168</v>
      </c>
      <c r="BX52" s="264">
        <f t="shared" si="28"/>
        <v>1527.4406239008531</v>
      </c>
      <c r="BY52" s="81">
        <f t="shared" si="29"/>
        <v>16.602615477183463</v>
      </c>
      <c r="BZ52" s="269">
        <f t="shared" si="30"/>
        <v>3.6180741011475883E-3</v>
      </c>
      <c r="CA52" s="103"/>
      <c r="CB52" s="80">
        <f>'TABLE 5 - DfE Published Figures'!J51</f>
        <v>424000</v>
      </c>
      <c r="CC52" s="84">
        <f t="shared" si="31"/>
        <v>0</v>
      </c>
      <c r="CD52" s="81"/>
      <c r="CE52" s="81"/>
      <c r="CF52" s="81"/>
      <c r="CG52" s="81"/>
      <c r="CH52" s="2"/>
    </row>
    <row r="53" spans="2:86" ht="15.75">
      <c r="B53" s="198">
        <v>2429</v>
      </c>
      <c r="C53" s="60" t="s">
        <v>58</v>
      </c>
      <c r="D53" s="204" t="s">
        <v>70</v>
      </c>
      <c r="F53" s="80">
        <v>191</v>
      </c>
      <c r="G53" s="163"/>
      <c r="H53" s="164">
        <v>0</v>
      </c>
      <c r="I53" s="94">
        <f t="shared" si="0"/>
        <v>191</v>
      </c>
      <c r="J53" s="103"/>
      <c r="K53" s="80">
        <v>861033.06835219671</v>
      </c>
      <c r="L53" s="163"/>
      <c r="M53" s="163"/>
      <c r="N53" s="94">
        <f t="shared" si="1"/>
        <v>861033.06835219671</v>
      </c>
      <c r="O53" s="103"/>
      <c r="P53" s="80">
        <f>P$76*'TABLE 4 - October 2016 Dataset'!F53</f>
        <v>524675.09</v>
      </c>
      <c r="Q53" s="160"/>
      <c r="R53" s="161"/>
      <c r="S53" s="162">
        <f t="shared" si="3"/>
        <v>524675.09</v>
      </c>
      <c r="T53" s="165">
        <f>T$76*'TABLE 4 - October 2016 Dataset'!I53</f>
        <v>18479.999999999985</v>
      </c>
      <c r="U53" s="165">
        <f>U$76*'TABLE 4 - October 2016 Dataset'!J53</f>
        <v>52214.625</v>
      </c>
      <c r="V53" s="165">
        <f>V$76*'TABLE 4 - October 2016 Dataset'!K53</f>
        <v>0</v>
      </c>
      <c r="W53" s="165">
        <f>W$76*'TABLE 4 - October 2016 Dataset'!L53</f>
        <v>17219.999999999971</v>
      </c>
      <c r="X53" s="165">
        <f>X$76*'TABLE 4 - October 2016 Dataset'!M53</f>
        <v>3119.9999999999995</v>
      </c>
      <c r="Y53" s="165">
        <f>Y$76*'TABLE 4 - October 2016 Dataset'!N53</f>
        <v>2520.0000000000027</v>
      </c>
      <c r="Z53" s="165">
        <f>Z$76*'TABLE 4 - October 2016 Dataset'!O53</f>
        <v>0</v>
      </c>
      <c r="AA53" s="165">
        <f>AA$76*'TABLE 4 - October 2016 Dataset'!P53</f>
        <v>21999.999999999993</v>
      </c>
      <c r="AB53" s="162">
        <f t="shared" si="4"/>
        <v>115554.62499999994</v>
      </c>
      <c r="AC53" s="140">
        <f>AC$76*'TABLE 4 - October 2016 Dataset'!Q53</f>
        <v>79807.703902802197</v>
      </c>
      <c r="AD53" s="140">
        <f>AD$76*'TABLE 4 - October 2016 Dataset'!R53</f>
        <v>11277.515923566838</v>
      </c>
      <c r="AE53" s="140">
        <f>AE$76*'TABLE 4 - October 2016 Dataset'!S53</f>
        <v>14859.900000000067</v>
      </c>
      <c r="AF53" s="140">
        <f t="shared" si="5"/>
        <v>110000</v>
      </c>
      <c r="AG53" s="140">
        <f>IF('TABLE 4 - October 2016 Dataset'!X53="No",0,"*CHECK*")</f>
        <v>0</v>
      </c>
      <c r="AH53" s="140">
        <f>'TABLE 4 - October 2016 Dataset'!Y53</f>
        <v>13758.08</v>
      </c>
      <c r="AI53" s="170">
        <f>IF('TABLE 4 - October 2016 Dataset'!Z53&gt;0,('TABLE 4 - October 2016 Dataset'!Z53*(1+AI$79))-((AI$76*SUM('TABLE 4 - October 2016 Dataset'!F53:H53))+AI$77),0)</f>
        <v>0</v>
      </c>
      <c r="AJ53" s="166" t="str">
        <f>IF('TABLE 4 - October 2016 Dataset'!AA53="Yes",'TABLE 1 - 2018-19 Provisional'!AJ$76*SUM('TABLE 4 - October 2016 Dataset'!F53:H53),"")</f>
        <v/>
      </c>
      <c r="AK53" s="140">
        <f t="shared" si="6"/>
        <v>0</v>
      </c>
      <c r="AL53" s="94">
        <f t="shared" si="7"/>
        <v>869932.91482636891</v>
      </c>
      <c r="AM53" s="103"/>
      <c r="AN53" s="80">
        <f t="shared" si="8"/>
        <v>856174.83482636895</v>
      </c>
      <c r="AO53" s="165">
        <f>AN53/SUM('TABLE 4 - October 2016 Dataset'!F53:H53)</f>
        <v>4482.5907582532409</v>
      </c>
      <c r="AP53" s="165">
        <f t="shared" si="2"/>
        <v>0</v>
      </c>
      <c r="AQ53" s="165">
        <f>AP53*SUM('TABLE 4 - October 2016 Dataset'!F53:H53)</f>
        <v>0</v>
      </c>
      <c r="AR53" s="94">
        <f t="shared" si="9"/>
        <v>869932.91482636891</v>
      </c>
      <c r="AS53" s="103"/>
      <c r="AT53" s="80">
        <f>N53-(AF53+AG53+'TABLE 4 - October 2016 Dataset'!Y53)</f>
        <v>737274.98835219676</v>
      </c>
      <c r="AU53" s="187">
        <f t="shared" si="10"/>
        <v>746174.83482636895</v>
      </c>
      <c r="AV53" s="165">
        <f t="shared" si="11"/>
        <v>3860.0784730481505</v>
      </c>
      <c r="AW53" s="165">
        <f>AU53/SUM('TABLE 4 - October 2016 Dataset'!F53:H53)</f>
        <v>3906.6745278867484</v>
      </c>
      <c r="AX53" s="173">
        <f t="shared" si="12"/>
        <v>1.2071271390968086E-2</v>
      </c>
      <c r="AY53" s="173">
        <f t="shared" si="13"/>
        <v>0</v>
      </c>
      <c r="AZ53" s="175">
        <f t="shared" si="14"/>
        <v>0</v>
      </c>
      <c r="BA53" s="165">
        <f>AZ53*SUM('TABLE 4 - October 2016 Dataset'!F53:H53)</f>
        <v>0</v>
      </c>
      <c r="BB53" s="94">
        <f t="shared" si="15"/>
        <v>869932.91482636891</v>
      </c>
      <c r="BC53" s="103"/>
      <c r="BD53" s="184">
        <f>'TABLE 3 - Target Illustrative'!AR53-(AF53+AG53+AH53)</f>
        <v>746174.83482636895</v>
      </c>
      <c r="BE53" s="165">
        <f>BD53/SUM('TABLE 4 - October 2016 Dataset'!F53:H53)</f>
        <v>3906.6745278867484</v>
      </c>
      <c r="BF53" s="173">
        <f t="shared" si="16"/>
        <v>1.2071271390968086E-2</v>
      </c>
      <c r="BG53" s="185">
        <f t="shared" si="17"/>
        <v>2.4142542781936172E-3</v>
      </c>
      <c r="BH53" s="185">
        <f t="shared" si="18"/>
        <v>1.2071271390968086E-2</v>
      </c>
      <c r="BI53" s="173">
        <f t="shared" si="19"/>
        <v>0</v>
      </c>
      <c r="BJ53" s="175">
        <f t="shared" si="20"/>
        <v>0</v>
      </c>
      <c r="BK53" s="165">
        <f>BJ53*SUM('TABLE 4 - October 2016 Dataset'!F53:H53)</f>
        <v>0</v>
      </c>
      <c r="BL53" s="94">
        <f t="shared" si="21"/>
        <v>869932.91482636891</v>
      </c>
      <c r="BM53" s="103"/>
      <c r="BN53" s="179">
        <f t="shared" si="22"/>
        <v>856174.83482636895</v>
      </c>
      <c r="BO53" s="175">
        <f>BN53/SUM('TABLE 4 - October 2016 Dataset'!F53:H53)</f>
        <v>4482.5907582532409</v>
      </c>
      <c r="BP53" s="175">
        <f t="shared" si="23"/>
        <v>0</v>
      </c>
      <c r="BQ53" s="175">
        <f>BP53*SUM('TABLE 4 - October 2016 Dataset'!F53:H53)</f>
        <v>0</v>
      </c>
      <c r="BR53" s="94">
        <f t="shared" si="24"/>
        <v>869932.91482636891</v>
      </c>
      <c r="BS53" s="103"/>
      <c r="BT53" s="80">
        <f t="shared" si="25"/>
        <v>861033.06835219671</v>
      </c>
      <c r="BU53" s="122">
        <f t="shared" si="26"/>
        <v>4508.0265358753759</v>
      </c>
      <c r="BV53" s="264">
        <f t="shared" si="27"/>
        <v>869932.91482636891</v>
      </c>
      <c r="BW53" s="81">
        <f>BV53/SUM('TABLE 4 - October 2016 Dataset'!F53:H53)</f>
        <v>4554.6225907139733</v>
      </c>
      <c r="BX53" s="264">
        <f t="shared" si="28"/>
        <v>8899.8464741721982</v>
      </c>
      <c r="BY53" s="81">
        <f t="shared" si="29"/>
        <v>46.596054838597411</v>
      </c>
      <c r="BZ53" s="269">
        <f t="shared" si="30"/>
        <v>1.0336242359662445E-2</v>
      </c>
      <c r="CA53" s="103"/>
      <c r="CB53" s="80">
        <f>'TABLE 5 - DfE Published Figures'!J52</f>
        <v>870000</v>
      </c>
      <c r="CC53" s="84">
        <f t="shared" si="31"/>
        <v>0</v>
      </c>
      <c r="CD53" s="81"/>
      <c r="CE53" s="81"/>
      <c r="CF53" s="81"/>
      <c r="CG53" s="81"/>
      <c r="CH53" s="2"/>
    </row>
    <row r="54" spans="2:86" ht="15.75">
      <c r="B54" s="198">
        <v>2017</v>
      </c>
      <c r="C54" s="60" t="s">
        <v>59</v>
      </c>
      <c r="D54" s="204"/>
      <c r="F54" s="80">
        <v>526</v>
      </c>
      <c r="G54" s="163"/>
      <c r="H54" s="164">
        <v>-2</v>
      </c>
      <c r="I54" s="94">
        <f t="shared" si="0"/>
        <v>524</v>
      </c>
      <c r="J54" s="103"/>
      <c r="K54" s="80">
        <v>1857807.6391980168</v>
      </c>
      <c r="L54" s="163"/>
      <c r="M54" s="163"/>
      <c r="N54" s="94">
        <f t="shared" si="1"/>
        <v>1857807.6391980168</v>
      </c>
      <c r="O54" s="103"/>
      <c r="P54" s="80">
        <f>P$76*'TABLE 4 - October 2016 Dataset'!F54</f>
        <v>1439422.7599999998</v>
      </c>
      <c r="Q54" s="160"/>
      <c r="R54" s="161"/>
      <c r="S54" s="162">
        <f t="shared" si="3"/>
        <v>1439422.7599999998</v>
      </c>
      <c r="T54" s="165">
        <f>T$76*'TABLE 4 - October 2016 Dataset'!I54</f>
        <v>32560.000000000113</v>
      </c>
      <c r="U54" s="165">
        <f>U$76*'TABLE 4 - October 2016 Dataset'!J54</f>
        <v>108391.93548387097</v>
      </c>
      <c r="V54" s="165">
        <f>V$76*'TABLE 4 - October 2016 Dataset'!K54</f>
        <v>0</v>
      </c>
      <c r="W54" s="165">
        <f>W$76*'TABLE 4 - October 2016 Dataset'!L54</f>
        <v>0</v>
      </c>
      <c r="X54" s="165">
        <f>X$76*'TABLE 4 - October 2016 Dataset'!M54</f>
        <v>17617.241379310337</v>
      </c>
      <c r="Y54" s="165">
        <f>Y$76*'TABLE 4 - October 2016 Dataset'!N54</f>
        <v>63964.137931034486</v>
      </c>
      <c r="Z54" s="165">
        <f>Z$76*'TABLE 4 - October 2016 Dataset'!O54</f>
        <v>0</v>
      </c>
      <c r="AA54" s="165">
        <f>AA$76*'TABLE 4 - October 2016 Dataset'!P54</f>
        <v>15057.471264367792</v>
      </c>
      <c r="AB54" s="162">
        <f t="shared" si="4"/>
        <v>237590.7860585837</v>
      </c>
      <c r="AC54" s="140">
        <f>AC$76*'TABLE 4 - October 2016 Dataset'!Q54</f>
        <v>219662.30431030245</v>
      </c>
      <c r="AD54" s="140">
        <f>AD$76*'TABLE 4 - October 2016 Dataset'!R54</f>
        <v>6839.7695852534653</v>
      </c>
      <c r="AE54" s="140">
        <f>AE$76*'TABLE 4 - October 2016 Dataset'!S54</f>
        <v>0</v>
      </c>
      <c r="AF54" s="140">
        <f t="shared" si="5"/>
        <v>110000</v>
      </c>
      <c r="AG54" s="140">
        <f>IF('TABLE 4 - October 2016 Dataset'!X54="No",0,"*CHECK*")</f>
        <v>0</v>
      </c>
      <c r="AH54" s="140">
        <f>'TABLE 4 - October 2016 Dataset'!Y54</f>
        <v>38374.050000000003</v>
      </c>
      <c r="AI54" s="170">
        <f>IF('TABLE 4 - October 2016 Dataset'!Z54&gt;0,('TABLE 4 - October 2016 Dataset'!Z54*(1+AI$79))-((AI$76*SUM('TABLE 4 - October 2016 Dataset'!F54:H54))+AI$77),0)</f>
        <v>0</v>
      </c>
      <c r="AJ54" s="166" t="str">
        <f>IF('TABLE 4 - October 2016 Dataset'!AA54="Yes",'TABLE 1 - 2018-19 Provisional'!AJ$76*SUM('TABLE 4 - October 2016 Dataset'!F54:H54),"")</f>
        <v/>
      </c>
      <c r="AK54" s="140">
        <f t="shared" si="6"/>
        <v>0</v>
      </c>
      <c r="AL54" s="94">
        <f t="shared" si="7"/>
        <v>2051889.6699541395</v>
      </c>
      <c r="AM54" s="103"/>
      <c r="AN54" s="80">
        <f t="shared" si="8"/>
        <v>2013515.6199541395</v>
      </c>
      <c r="AO54" s="165">
        <f>AN54/SUM('TABLE 4 - October 2016 Dataset'!F54:H54)</f>
        <v>3842.5870609811823</v>
      </c>
      <c r="AP54" s="165">
        <f t="shared" si="2"/>
        <v>0</v>
      </c>
      <c r="AQ54" s="165">
        <f>AP54*SUM('TABLE 4 - October 2016 Dataset'!F54:H54)</f>
        <v>0</v>
      </c>
      <c r="AR54" s="94">
        <f t="shared" si="9"/>
        <v>2051889.6699541395</v>
      </c>
      <c r="AS54" s="103"/>
      <c r="AT54" s="80">
        <f>N54-(AF54+AG54+'TABLE 4 - October 2016 Dataset'!Y54)</f>
        <v>1709433.5891980168</v>
      </c>
      <c r="AU54" s="187">
        <f t="shared" si="10"/>
        <v>1903515.6199541395</v>
      </c>
      <c r="AV54" s="165">
        <f t="shared" si="11"/>
        <v>3262.2778419809479</v>
      </c>
      <c r="AW54" s="165">
        <f>AU54/SUM('TABLE 4 - October 2016 Dataset'!F54:H54)</f>
        <v>3632.663396859045</v>
      </c>
      <c r="AX54" s="173">
        <f t="shared" si="12"/>
        <v>0.1135358705845817</v>
      </c>
      <c r="AY54" s="173">
        <f t="shared" si="13"/>
        <v>0</v>
      </c>
      <c r="AZ54" s="175">
        <f t="shared" si="14"/>
        <v>0</v>
      </c>
      <c r="BA54" s="165">
        <f>AZ54*SUM('TABLE 4 - October 2016 Dataset'!F54:H54)</f>
        <v>0</v>
      </c>
      <c r="BB54" s="94">
        <f t="shared" si="15"/>
        <v>2051889.6699541395</v>
      </c>
      <c r="BC54" s="103"/>
      <c r="BD54" s="184">
        <f>'TABLE 3 - Target Illustrative'!AR54-(AF54+AG54+AH54)</f>
        <v>1903515.6199541395</v>
      </c>
      <c r="BE54" s="165">
        <f>BD54/SUM('TABLE 4 - October 2016 Dataset'!F54:H54)</f>
        <v>3632.663396859045</v>
      </c>
      <c r="BF54" s="173">
        <f t="shared" si="16"/>
        <v>0.1135358705845817</v>
      </c>
      <c r="BG54" s="185">
        <f t="shared" si="17"/>
        <v>2.2707174116916341E-2</v>
      </c>
      <c r="BH54" s="185">
        <f t="shared" si="18"/>
        <v>0.03</v>
      </c>
      <c r="BI54" s="173">
        <f t="shared" si="19"/>
        <v>-8.3535870584581701E-2</v>
      </c>
      <c r="BJ54" s="175">
        <f t="shared" si="20"/>
        <v>-272.51721961866895</v>
      </c>
      <c r="BK54" s="165">
        <f>BJ54*SUM('TABLE 4 - October 2016 Dataset'!F54:H54)</f>
        <v>-142799.02308018252</v>
      </c>
      <c r="BL54" s="94">
        <f t="shared" si="21"/>
        <v>1909090.646873957</v>
      </c>
      <c r="BM54" s="103"/>
      <c r="BN54" s="179">
        <f t="shared" si="22"/>
        <v>1870716.596873957</v>
      </c>
      <c r="BO54" s="175">
        <f>BN54/SUM('TABLE 4 - October 2016 Dataset'!F54:H54)</f>
        <v>3570.0698413625132</v>
      </c>
      <c r="BP54" s="175">
        <f t="shared" si="23"/>
        <v>0</v>
      </c>
      <c r="BQ54" s="175">
        <f>BP54*SUM('TABLE 4 - October 2016 Dataset'!F54:H54)</f>
        <v>0</v>
      </c>
      <c r="BR54" s="94">
        <f t="shared" si="24"/>
        <v>1909090.646873957</v>
      </c>
      <c r="BS54" s="103"/>
      <c r="BT54" s="80">
        <f t="shared" si="25"/>
        <v>1857807.6391980168</v>
      </c>
      <c r="BU54" s="122">
        <f t="shared" si="26"/>
        <v>3545.4344259504137</v>
      </c>
      <c r="BV54" s="264">
        <f t="shared" si="27"/>
        <v>1909090.646873957</v>
      </c>
      <c r="BW54" s="81">
        <f>BV54/SUM('TABLE 4 - October 2016 Dataset'!F54:H54)</f>
        <v>3643.3027612098417</v>
      </c>
      <c r="BX54" s="264">
        <f t="shared" si="28"/>
        <v>51283.007675940171</v>
      </c>
      <c r="BY54" s="81">
        <f t="shared" si="29"/>
        <v>97.868335259428022</v>
      </c>
      <c r="BZ54" s="269">
        <f t="shared" si="30"/>
        <v>2.7604046077708166E-2</v>
      </c>
      <c r="CA54" s="103"/>
      <c r="CB54" s="80">
        <f>'TABLE 5 - DfE Published Figures'!J53</f>
        <v>1909000</v>
      </c>
      <c r="CC54" s="84">
        <f t="shared" si="31"/>
        <v>0</v>
      </c>
      <c r="CD54" s="81"/>
      <c r="CE54" s="81"/>
      <c r="CF54" s="81"/>
      <c r="CG54" s="81"/>
      <c r="CH54" s="2"/>
    </row>
    <row r="55" spans="2:86" ht="15.75">
      <c r="B55" s="198">
        <v>3380</v>
      </c>
      <c r="C55" s="60" t="s">
        <v>60</v>
      </c>
      <c r="D55" s="204"/>
      <c r="F55" s="80">
        <v>226</v>
      </c>
      <c r="G55" s="163"/>
      <c r="H55" s="164">
        <v>0</v>
      </c>
      <c r="I55" s="94">
        <f t="shared" si="0"/>
        <v>226</v>
      </c>
      <c r="J55" s="103"/>
      <c r="K55" s="80">
        <v>721489.62072683324</v>
      </c>
      <c r="L55" s="163"/>
      <c r="M55" s="163"/>
      <c r="N55" s="94">
        <f t="shared" si="1"/>
        <v>721489.62072683324</v>
      </c>
      <c r="O55" s="103"/>
      <c r="P55" s="80">
        <f>P$76*'TABLE 4 - October 2016 Dataset'!F55</f>
        <v>620819.74</v>
      </c>
      <c r="Q55" s="160"/>
      <c r="R55" s="161"/>
      <c r="S55" s="162">
        <f t="shared" si="3"/>
        <v>620819.74</v>
      </c>
      <c r="T55" s="165">
        <f>T$76*'TABLE 4 - October 2016 Dataset'!I55</f>
        <v>879.99999999999966</v>
      </c>
      <c r="U55" s="165">
        <f>U$76*'TABLE 4 - October 2016 Dataset'!J55</f>
        <v>5472.6457399103138</v>
      </c>
      <c r="V55" s="165">
        <f>V$76*'TABLE 4 - October 2016 Dataset'!K55</f>
        <v>0</v>
      </c>
      <c r="W55" s="165">
        <f>W$76*'TABLE 4 - October 2016 Dataset'!L55</f>
        <v>0</v>
      </c>
      <c r="X55" s="165">
        <f>X$76*'TABLE 4 - October 2016 Dataset'!M55</f>
        <v>0</v>
      </c>
      <c r="Y55" s="165">
        <f>Y$76*'TABLE 4 - October 2016 Dataset'!N55</f>
        <v>0</v>
      </c>
      <c r="Z55" s="165">
        <f>Z$76*'TABLE 4 - October 2016 Dataset'!O55</f>
        <v>0</v>
      </c>
      <c r="AA55" s="165">
        <f>AA$76*'TABLE 4 - October 2016 Dataset'!P55</f>
        <v>0</v>
      </c>
      <c r="AB55" s="162">
        <f t="shared" si="4"/>
        <v>6352.6457399103138</v>
      </c>
      <c r="AC55" s="140">
        <f>AC$76*'TABLE 4 - October 2016 Dataset'!Q55</f>
        <v>34292.560279187819</v>
      </c>
      <c r="AD55" s="140">
        <f>AD$76*'TABLE 4 - October 2016 Dataset'!R55</f>
        <v>0</v>
      </c>
      <c r="AE55" s="140">
        <f>AE$76*'TABLE 4 - October 2016 Dataset'!S55</f>
        <v>0</v>
      </c>
      <c r="AF55" s="140">
        <f t="shared" si="5"/>
        <v>110000</v>
      </c>
      <c r="AG55" s="140">
        <f>IF('TABLE 4 - October 2016 Dataset'!X55="No",0,"*CHECK*")</f>
        <v>0</v>
      </c>
      <c r="AH55" s="140">
        <f>'TABLE 4 - October 2016 Dataset'!Y55</f>
        <v>4248</v>
      </c>
      <c r="AI55" s="170">
        <f>IF('TABLE 4 - October 2016 Dataset'!Z55&gt;0,('TABLE 4 - October 2016 Dataset'!Z55*(1+AI$79))-((AI$76*SUM('TABLE 4 - October 2016 Dataset'!F55:H55))+AI$77),0)</f>
        <v>0</v>
      </c>
      <c r="AJ55" s="166" t="str">
        <f>IF('TABLE 4 - October 2016 Dataset'!AA55="Yes",'TABLE 1 - 2018-19 Provisional'!AJ$76*SUM('TABLE 4 - October 2016 Dataset'!F55:H55),"")</f>
        <v/>
      </c>
      <c r="AK55" s="140">
        <f t="shared" si="6"/>
        <v>0</v>
      </c>
      <c r="AL55" s="94">
        <f t="shared" si="7"/>
        <v>775712.94601909816</v>
      </c>
      <c r="AM55" s="103"/>
      <c r="AN55" s="80">
        <f t="shared" si="8"/>
        <v>771464.94601909816</v>
      </c>
      <c r="AO55" s="165">
        <f>AN55/SUM('TABLE 4 - October 2016 Dataset'!F55:H55)</f>
        <v>3413.561708049107</v>
      </c>
      <c r="AP55" s="165">
        <f t="shared" si="2"/>
        <v>0</v>
      </c>
      <c r="AQ55" s="165">
        <f>AP55*SUM('TABLE 4 - October 2016 Dataset'!F55:H55)</f>
        <v>0</v>
      </c>
      <c r="AR55" s="94">
        <f t="shared" si="9"/>
        <v>775712.94601909816</v>
      </c>
      <c r="AS55" s="103"/>
      <c r="AT55" s="80">
        <f>N55-(AF55+AG55+'TABLE 4 - October 2016 Dataset'!Y55)</f>
        <v>607241.62072683324</v>
      </c>
      <c r="AU55" s="187">
        <f t="shared" si="10"/>
        <v>661464.94601909816</v>
      </c>
      <c r="AV55" s="165">
        <f t="shared" si="11"/>
        <v>2686.9098262249258</v>
      </c>
      <c r="AW55" s="165">
        <f>AU55/SUM('TABLE 4 - October 2016 Dataset'!F55:H55)</f>
        <v>2926.8360443322927</v>
      </c>
      <c r="AX55" s="173">
        <f t="shared" si="12"/>
        <v>8.9294480881206173E-2</v>
      </c>
      <c r="AY55" s="173">
        <f t="shared" si="13"/>
        <v>0</v>
      </c>
      <c r="AZ55" s="175">
        <f t="shared" si="14"/>
        <v>0</v>
      </c>
      <c r="BA55" s="165">
        <f>AZ55*SUM('TABLE 4 - October 2016 Dataset'!F55:H55)</f>
        <v>0</v>
      </c>
      <c r="BB55" s="94">
        <f t="shared" si="15"/>
        <v>775712.94601909816</v>
      </c>
      <c r="BC55" s="103"/>
      <c r="BD55" s="184">
        <f>'TABLE 3 - Target Illustrative'!AR55-(AF55+AG55+AH55)</f>
        <v>681000</v>
      </c>
      <c r="BE55" s="165">
        <f>BD55/SUM('TABLE 4 - October 2016 Dataset'!F55:H55)</f>
        <v>3013.2743362831857</v>
      </c>
      <c r="BF55" s="173">
        <f t="shared" si="16"/>
        <v>0.12146463080854408</v>
      </c>
      <c r="BG55" s="185">
        <f t="shared" si="17"/>
        <v>2.4292926161708819E-2</v>
      </c>
      <c r="BH55" s="185">
        <f t="shared" si="18"/>
        <v>0.03</v>
      </c>
      <c r="BI55" s="173">
        <f t="shared" si="19"/>
        <v>-5.9294480881206174E-2</v>
      </c>
      <c r="BJ55" s="175">
        <f t="shared" si="20"/>
        <v>-159.31892332061886</v>
      </c>
      <c r="BK55" s="165">
        <f>BJ55*SUM('TABLE 4 - October 2016 Dataset'!F55:H55)</f>
        <v>-36006.076670459865</v>
      </c>
      <c r="BL55" s="94">
        <f t="shared" si="21"/>
        <v>739706.86934863834</v>
      </c>
      <c r="BM55" s="103"/>
      <c r="BN55" s="179">
        <f t="shared" si="22"/>
        <v>735458.86934863834</v>
      </c>
      <c r="BO55" s="175">
        <f>BN55/SUM('TABLE 4 - October 2016 Dataset'!F55:H55)</f>
        <v>3254.2427847284885</v>
      </c>
      <c r="BP55" s="175">
        <f t="shared" si="23"/>
        <v>45.757215271511541</v>
      </c>
      <c r="BQ55" s="175">
        <f>BP55*SUM('TABLE 4 - October 2016 Dataset'!F55:H55)</f>
        <v>10341.130651361607</v>
      </c>
      <c r="BR55" s="94">
        <f t="shared" si="24"/>
        <v>750048</v>
      </c>
      <c r="BS55" s="103"/>
      <c r="BT55" s="80">
        <f t="shared" si="25"/>
        <v>721489.62072683324</v>
      </c>
      <c r="BU55" s="122">
        <f t="shared" si="26"/>
        <v>3192.431950118731</v>
      </c>
      <c r="BV55" s="264">
        <f t="shared" si="27"/>
        <v>750048</v>
      </c>
      <c r="BW55" s="81">
        <f>BV55/SUM('TABLE 4 - October 2016 Dataset'!F55:H55)</f>
        <v>3318.7964601769913</v>
      </c>
      <c r="BX55" s="264">
        <f t="shared" si="28"/>
        <v>28558.379273166764</v>
      </c>
      <c r="BY55" s="81">
        <f t="shared" si="29"/>
        <v>126.36451005826029</v>
      </c>
      <c r="BZ55" s="269">
        <f t="shared" si="30"/>
        <v>3.9582522676344163E-2</v>
      </c>
      <c r="CA55" s="103"/>
      <c r="CB55" s="80">
        <f>'TABLE 5 - DfE Published Figures'!J54</f>
        <v>750000</v>
      </c>
      <c r="CC55" s="84">
        <f t="shared" si="31"/>
        <v>0</v>
      </c>
      <c r="CD55" s="81"/>
      <c r="CE55" s="81"/>
      <c r="CF55" s="81"/>
      <c r="CG55" s="81"/>
      <c r="CH55" s="2"/>
    </row>
    <row r="56" spans="2:86" ht="15.75">
      <c r="B56" s="198">
        <v>2240</v>
      </c>
      <c r="C56" s="60" t="s">
        <v>61</v>
      </c>
      <c r="D56" s="204"/>
      <c r="F56" s="80">
        <v>272</v>
      </c>
      <c r="G56" s="163"/>
      <c r="H56" s="164">
        <v>-1</v>
      </c>
      <c r="I56" s="94">
        <f t="shared" si="0"/>
        <v>271</v>
      </c>
      <c r="J56" s="103"/>
      <c r="K56" s="80">
        <v>858323.07933024038</v>
      </c>
      <c r="L56" s="163"/>
      <c r="M56" s="163"/>
      <c r="N56" s="94">
        <f t="shared" si="1"/>
        <v>858323.07933024038</v>
      </c>
      <c r="O56" s="103"/>
      <c r="P56" s="80">
        <f>P$76*'TABLE 4 - October 2016 Dataset'!F56</f>
        <v>744434.28999999992</v>
      </c>
      <c r="Q56" s="160"/>
      <c r="R56" s="161"/>
      <c r="S56" s="162">
        <f t="shared" si="3"/>
        <v>744434.28999999992</v>
      </c>
      <c r="T56" s="165">
        <f>T$76*'TABLE 4 - October 2016 Dataset'!I56</f>
        <v>1759.9999999999982</v>
      </c>
      <c r="U56" s="165">
        <f>U$76*'TABLE 4 - October 2016 Dataset'!J56</f>
        <v>10037.761732851986</v>
      </c>
      <c r="V56" s="165">
        <f>V$76*'TABLE 4 - October 2016 Dataset'!K56</f>
        <v>0</v>
      </c>
      <c r="W56" s="165">
        <f>W$76*'TABLE 4 - October 2016 Dataset'!L56</f>
        <v>429.50943396226444</v>
      </c>
      <c r="X56" s="165">
        <f>X$76*'TABLE 4 - October 2016 Dataset'!M56</f>
        <v>0</v>
      </c>
      <c r="Y56" s="165">
        <f>Y$76*'TABLE 4 - October 2016 Dataset'!N56</f>
        <v>368.15094339622664</v>
      </c>
      <c r="Z56" s="165">
        <f>Z$76*'TABLE 4 - October 2016 Dataset'!O56</f>
        <v>981.73584905660312</v>
      </c>
      <c r="AA56" s="165">
        <f>AA$76*'TABLE 4 - October 2016 Dataset'!P56</f>
        <v>409.05660377358464</v>
      </c>
      <c r="AB56" s="162">
        <f t="shared" si="4"/>
        <v>13986.214563040665</v>
      </c>
      <c r="AC56" s="140">
        <f>AC$76*'TABLE 4 - October 2016 Dataset'!Q56</f>
        <v>51237.035436473649</v>
      </c>
      <c r="AD56" s="140">
        <f>AD$76*'TABLE 4 - October 2016 Dataset'!R56</f>
        <v>0</v>
      </c>
      <c r="AE56" s="140">
        <f>AE$76*'TABLE 4 - October 2016 Dataset'!S56</f>
        <v>0</v>
      </c>
      <c r="AF56" s="140">
        <f t="shared" si="5"/>
        <v>110000</v>
      </c>
      <c r="AG56" s="140">
        <f>IF('TABLE 4 - October 2016 Dataset'!X56="No",0,"*CHECK*")</f>
        <v>0</v>
      </c>
      <c r="AH56" s="140">
        <f>'TABLE 4 - October 2016 Dataset'!Y56</f>
        <v>12936.34</v>
      </c>
      <c r="AI56" s="170">
        <f>IF('TABLE 4 - October 2016 Dataset'!Z56&gt;0,('TABLE 4 - October 2016 Dataset'!Z56*(1+AI$79))-((AI$76*SUM('TABLE 4 - October 2016 Dataset'!F56:H56))+AI$77),0)</f>
        <v>0</v>
      </c>
      <c r="AJ56" s="166" t="str">
        <f>IF('TABLE 4 - October 2016 Dataset'!AA56="Yes",'TABLE 1 - 2018-19 Provisional'!AJ$76*SUM('TABLE 4 - October 2016 Dataset'!F56:H56),"")</f>
        <v/>
      </c>
      <c r="AK56" s="140">
        <f t="shared" si="6"/>
        <v>0</v>
      </c>
      <c r="AL56" s="94">
        <f t="shared" si="7"/>
        <v>932593.8799995142</v>
      </c>
      <c r="AM56" s="103"/>
      <c r="AN56" s="80">
        <f t="shared" si="8"/>
        <v>919657.53999951424</v>
      </c>
      <c r="AO56" s="165">
        <f>AN56/SUM('TABLE 4 - October 2016 Dataset'!F56:H56)</f>
        <v>3393.5702583007906</v>
      </c>
      <c r="AP56" s="165">
        <f t="shared" si="2"/>
        <v>0</v>
      </c>
      <c r="AQ56" s="165">
        <f>AP56*SUM('TABLE 4 - October 2016 Dataset'!F56:H56)</f>
        <v>0</v>
      </c>
      <c r="AR56" s="94">
        <f t="shared" si="9"/>
        <v>932593.8799995142</v>
      </c>
      <c r="AS56" s="103"/>
      <c r="AT56" s="80">
        <f>N56-(AF56+AG56+'TABLE 4 - October 2016 Dataset'!Y56)</f>
        <v>735386.73933024041</v>
      </c>
      <c r="AU56" s="187">
        <f t="shared" si="10"/>
        <v>809657.53999951424</v>
      </c>
      <c r="AV56" s="165">
        <f t="shared" si="11"/>
        <v>2713.6042041706287</v>
      </c>
      <c r="AW56" s="165">
        <f>AU56/SUM('TABLE 4 - October 2016 Dataset'!F56:H56)</f>
        <v>2987.6661992602003</v>
      </c>
      <c r="AX56" s="173">
        <f t="shared" si="12"/>
        <v>0.10099556695422152</v>
      </c>
      <c r="AY56" s="173">
        <f t="shared" si="13"/>
        <v>0</v>
      </c>
      <c r="AZ56" s="175">
        <f t="shared" si="14"/>
        <v>0</v>
      </c>
      <c r="BA56" s="165">
        <f>AZ56*SUM('TABLE 4 - October 2016 Dataset'!F56:H56)</f>
        <v>0</v>
      </c>
      <c r="BB56" s="94">
        <f t="shared" si="15"/>
        <v>932593.8799995142</v>
      </c>
      <c r="BC56" s="103"/>
      <c r="BD56" s="184">
        <f>'TABLE 3 - Target Illustrative'!AR56-(AF56+AG56+AH56)</f>
        <v>838500</v>
      </c>
      <c r="BE56" s="165">
        <f>BD56/SUM('TABLE 4 - October 2016 Dataset'!F56:H56)</f>
        <v>3094.0959409594097</v>
      </c>
      <c r="BF56" s="173">
        <f t="shared" si="16"/>
        <v>0.14021637208697957</v>
      </c>
      <c r="BG56" s="185">
        <f t="shared" si="17"/>
        <v>2.8043274417395916E-2</v>
      </c>
      <c r="BH56" s="185">
        <f t="shared" si="18"/>
        <v>0.03</v>
      </c>
      <c r="BI56" s="173">
        <f t="shared" si="19"/>
        <v>-7.0995566954221517E-2</v>
      </c>
      <c r="BJ56" s="175">
        <f t="shared" si="20"/>
        <v>-192.65386896445287</v>
      </c>
      <c r="BK56" s="165">
        <f>BJ56*SUM('TABLE 4 - October 2016 Dataset'!F56:H56)</f>
        <v>-52209.198489366725</v>
      </c>
      <c r="BL56" s="94">
        <f t="shared" si="21"/>
        <v>880384.68151014752</v>
      </c>
      <c r="BM56" s="103"/>
      <c r="BN56" s="179">
        <f t="shared" si="22"/>
        <v>867448.34151014755</v>
      </c>
      <c r="BO56" s="175">
        <f>BN56/SUM('TABLE 4 - October 2016 Dataset'!F56:H56)</f>
        <v>3200.9163893363379</v>
      </c>
      <c r="BP56" s="175">
        <f t="shared" si="23"/>
        <v>99.083610663662057</v>
      </c>
      <c r="BQ56" s="175">
        <f>BP56*SUM('TABLE 4 - October 2016 Dataset'!F56:H56)</f>
        <v>26851.658489852416</v>
      </c>
      <c r="BR56" s="94">
        <f t="shared" si="24"/>
        <v>907236.34</v>
      </c>
      <c r="BS56" s="103"/>
      <c r="BT56" s="80">
        <f t="shared" si="25"/>
        <v>858323.07933024038</v>
      </c>
      <c r="BU56" s="122">
        <f t="shared" si="26"/>
        <v>3167.2438351669389</v>
      </c>
      <c r="BV56" s="264">
        <f t="shared" si="27"/>
        <v>907236.34</v>
      </c>
      <c r="BW56" s="81">
        <f>BV56/SUM('TABLE 4 - October 2016 Dataset'!F56:H56)</f>
        <v>3347.7355719557195</v>
      </c>
      <c r="BX56" s="264">
        <f t="shared" si="28"/>
        <v>48913.260669759591</v>
      </c>
      <c r="BY56" s="81">
        <f t="shared" si="29"/>
        <v>180.4917367887806</v>
      </c>
      <c r="BZ56" s="269">
        <f t="shared" si="30"/>
        <v>5.6987003900590825E-2</v>
      </c>
      <c r="CA56" s="103"/>
      <c r="CB56" s="80">
        <f>'TABLE 5 - DfE Published Figures'!J55</f>
        <v>907000</v>
      </c>
      <c r="CC56" s="84">
        <f t="shared" si="31"/>
        <v>0</v>
      </c>
      <c r="CD56" s="81"/>
      <c r="CE56" s="81"/>
      <c r="CF56" s="81"/>
      <c r="CG56" s="81"/>
      <c r="CH56" s="2"/>
    </row>
    <row r="57" spans="2:86" ht="15.75">
      <c r="B57" s="198">
        <v>2027</v>
      </c>
      <c r="C57" s="60" t="s">
        <v>62</v>
      </c>
      <c r="D57" s="204" t="s">
        <v>73</v>
      </c>
      <c r="F57" s="80">
        <v>392</v>
      </c>
      <c r="G57" s="163"/>
      <c r="H57" s="164">
        <v>-1</v>
      </c>
      <c r="I57" s="94">
        <f t="shared" si="0"/>
        <v>391</v>
      </c>
      <c r="J57" s="103"/>
      <c r="K57" s="80">
        <v>1331287.0435244814</v>
      </c>
      <c r="L57" s="163"/>
      <c r="M57" s="163"/>
      <c r="N57" s="94">
        <f t="shared" si="1"/>
        <v>1331287.0435244814</v>
      </c>
      <c r="O57" s="103"/>
      <c r="P57" s="80">
        <f>P$76*'TABLE 4 - October 2016 Dataset'!F57</f>
        <v>1074073.0899999999</v>
      </c>
      <c r="Q57" s="160"/>
      <c r="R57" s="161"/>
      <c r="S57" s="162">
        <f t="shared" si="3"/>
        <v>1074073.0899999999</v>
      </c>
      <c r="T57" s="165">
        <f>T$76*'TABLE 4 - October 2016 Dataset'!I57</f>
        <v>19799.999999999971</v>
      </c>
      <c r="U57" s="165">
        <f>U$76*'TABLE 4 - October 2016 Dataset'!J57</f>
        <v>60163.54838709678</v>
      </c>
      <c r="V57" s="165">
        <f>V$76*'TABLE 4 - October 2016 Dataset'!K57</f>
        <v>0</v>
      </c>
      <c r="W57" s="165">
        <f>W$76*'TABLE 4 - October 2016 Dataset'!L57</f>
        <v>0</v>
      </c>
      <c r="X57" s="165">
        <f>X$76*'TABLE 4 - October 2016 Dataset'!M57</f>
        <v>37425.744125326397</v>
      </c>
      <c r="Y57" s="165">
        <f>Y$76*'TABLE 4 - October 2016 Dataset'!N57</f>
        <v>7350.3916449086209</v>
      </c>
      <c r="Z57" s="165">
        <f>Z$76*'TABLE 4 - October 2016 Dataset'!O57</f>
        <v>0</v>
      </c>
      <c r="AA57" s="165">
        <f>AA$76*'TABLE 4 - October 2016 Dataset'!P57</f>
        <v>7554.569190600525</v>
      </c>
      <c r="AB57" s="162">
        <f t="shared" si="4"/>
        <v>132294.2533479323</v>
      </c>
      <c r="AC57" s="140">
        <f>AC$76*'TABLE 4 - October 2016 Dataset'!Q57</f>
        <v>143139.71808054947</v>
      </c>
      <c r="AD57" s="140">
        <f>AD$76*'TABLE 4 - October 2016 Dataset'!R57</f>
        <v>4271.3787878787853</v>
      </c>
      <c r="AE57" s="140">
        <f>AE$76*'TABLE 4 - October 2016 Dataset'!S57</f>
        <v>0</v>
      </c>
      <c r="AF57" s="140">
        <f t="shared" si="5"/>
        <v>110000</v>
      </c>
      <c r="AG57" s="140">
        <f>IF('TABLE 4 - October 2016 Dataset'!X57="No",0,"*CHECK*")</f>
        <v>0</v>
      </c>
      <c r="AH57" s="140">
        <f>'TABLE 4 - October 2016 Dataset'!Y57</f>
        <v>24735.41</v>
      </c>
      <c r="AI57" s="170">
        <f>IF('TABLE 4 - October 2016 Dataset'!Z57&gt;0,('TABLE 4 - October 2016 Dataset'!Z57*(1+AI$79))-((AI$76*SUM('TABLE 4 - October 2016 Dataset'!F57:H57))+AI$77),0)</f>
        <v>0</v>
      </c>
      <c r="AJ57" s="166" t="str">
        <f>IF('TABLE 4 - October 2016 Dataset'!AA57="Yes",'TABLE 1 - 2018-19 Provisional'!AJ$76*SUM('TABLE 4 - October 2016 Dataset'!F57:H57),"")</f>
        <v/>
      </c>
      <c r="AK57" s="140">
        <f t="shared" si="6"/>
        <v>0</v>
      </c>
      <c r="AL57" s="94">
        <f t="shared" si="7"/>
        <v>1488513.8502163605</v>
      </c>
      <c r="AM57" s="103"/>
      <c r="AN57" s="80">
        <f t="shared" si="8"/>
        <v>1463778.4402163606</v>
      </c>
      <c r="AO57" s="165">
        <f>AN57/SUM('TABLE 4 - October 2016 Dataset'!F57:H57)</f>
        <v>3743.6788752336588</v>
      </c>
      <c r="AP57" s="165">
        <f t="shared" si="2"/>
        <v>0</v>
      </c>
      <c r="AQ57" s="165">
        <f>AP57*SUM('TABLE 4 - October 2016 Dataset'!F57:H57)</f>
        <v>0</v>
      </c>
      <c r="AR57" s="94">
        <f t="shared" si="9"/>
        <v>1488513.8502163605</v>
      </c>
      <c r="AS57" s="103"/>
      <c r="AT57" s="80">
        <f>N57-(AF57+AG57+'TABLE 4 - October 2016 Dataset'!Y57)</f>
        <v>1196551.6335244814</v>
      </c>
      <c r="AU57" s="187">
        <f t="shared" si="10"/>
        <v>1353778.4402163606</v>
      </c>
      <c r="AV57" s="165">
        <f t="shared" si="11"/>
        <v>3060.2343568401061</v>
      </c>
      <c r="AW57" s="165">
        <f>AU57/SUM('TABLE 4 - October 2016 Dataset'!F57:H57)</f>
        <v>3462.3489519600016</v>
      </c>
      <c r="AX57" s="173">
        <f t="shared" si="12"/>
        <v>0.13139993485175605</v>
      </c>
      <c r="AY57" s="173">
        <f t="shared" si="13"/>
        <v>0</v>
      </c>
      <c r="AZ57" s="175">
        <f t="shared" si="14"/>
        <v>0</v>
      </c>
      <c r="BA57" s="165">
        <f>AZ57*SUM('TABLE 4 - October 2016 Dataset'!F57:H57)</f>
        <v>0</v>
      </c>
      <c r="BB57" s="94">
        <f t="shared" si="15"/>
        <v>1488513.8502163605</v>
      </c>
      <c r="BC57" s="103"/>
      <c r="BD57" s="184">
        <f>'TABLE 3 - Target Illustrative'!AR57-(AF57+AG57+AH57)</f>
        <v>1353778.4402163606</v>
      </c>
      <c r="BE57" s="165">
        <f>BD57/SUM('TABLE 4 - October 2016 Dataset'!F57:H57)</f>
        <v>3462.3489519600016</v>
      </c>
      <c r="BF57" s="173">
        <f t="shared" si="16"/>
        <v>0.13139993485175605</v>
      </c>
      <c r="BG57" s="185">
        <f t="shared" si="17"/>
        <v>2.6279986970351211E-2</v>
      </c>
      <c r="BH57" s="185">
        <f t="shared" si="18"/>
        <v>0.03</v>
      </c>
      <c r="BI57" s="173">
        <f t="shared" si="19"/>
        <v>-0.10139993485175605</v>
      </c>
      <c r="BJ57" s="175">
        <f t="shared" si="20"/>
        <v>-310.30756441469237</v>
      </c>
      <c r="BK57" s="165">
        <f>BJ57*SUM('TABLE 4 - October 2016 Dataset'!F57:H57)</f>
        <v>-121330.25768614472</v>
      </c>
      <c r="BL57" s="94">
        <f t="shared" si="21"/>
        <v>1367183.5925302159</v>
      </c>
      <c r="BM57" s="103"/>
      <c r="BN57" s="179">
        <f t="shared" si="22"/>
        <v>1342448.1825302159</v>
      </c>
      <c r="BO57" s="175">
        <f>BN57/SUM('TABLE 4 - October 2016 Dataset'!F57:H57)</f>
        <v>3433.3713108189668</v>
      </c>
      <c r="BP57" s="175">
        <f t="shared" si="23"/>
        <v>0</v>
      </c>
      <c r="BQ57" s="175">
        <f>BP57*SUM('TABLE 4 - October 2016 Dataset'!F57:H57)</f>
        <v>0</v>
      </c>
      <c r="BR57" s="94">
        <f t="shared" si="24"/>
        <v>1367183.5925302159</v>
      </c>
      <c r="BS57" s="103"/>
      <c r="BT57" s="80">
        <f t="shared" si="25"/>
        <v>1331287.0435244814</v>
      </c>
      <c r="BU57" s="122">
        <f t="shared" si="26"/>
        <v>3404.8261982723307</v>
      </c>
      <c r="BV57" s="264">
        <f t="shared" si="27"/>
        <v>1367183.5925302159</v>
      </c>
      <c r="BW57" s="81">
        <f>BV57/SUM('TABLE 4 - October 2016 Dataset'!F57:H57)</f>
        <v>3496.6332289775341</v>
      </c>
      <c r="BX57" s="264">
        <f t="shared" si="28"/>
        <v>35896.549005734501</v>
      </c>
      <c r="BY57" s="81">
        <f t="shared" si="29"/>
        <v>91.807030705203488</v>
      </c>
      <c r="BZ57" s="269">
        <f t="shared" si="30"/>
        <v>2.6963793556272566E-2</v>
      </c>
      <c r="CA57" s="103"/>
      <c r="CB57" s="80">
        <f>'TABLE 5 - DfE Published Figures'!J56</f>
        <v>1352000</v>
      </c>
      <c r="CC57" s="84">
        <f t="shared" si="31"/>
        <v>15000</v>
      </c>
      <c r="CD57" s="81"/>
      <c r="CE57" s="81"/>
      <c r="CF57" s="81"/>
      <c r="CG57" s="81"/>
      <c r="CH57" s="2"/>
    </row>
    <row r="58" spans="2:86" ht="15.75">
      <c r="B58" s="198">
        <v>2015</v>
      </c>
      <c r="C58" s="60" t="s">
        <v>63</v>
      </c>
      <c r="D58" s="204"/>
      <c r="F58" s="80">
        <v>367</v>
      </c>
      <c r="G58" s="163"/>
      <c r="H58" s="164">
        <v>0</v>
      </c>
      <c r="I58" s="94">
        <f t="shared" si="0"/>
        <v>367</v>
      </c>
      <c r="J58" s="103"/>
      <c r="K58" s="80">
        <v>1293727.8776638319</v>
      </c>
      <c r="L58" s="163"/>
      <c r="M58" s="163"/>
      <c r="N58" s="94">
        <f t="shared" si="1"/>
        <v>1293727.8776638319</v>
      </c>
      <c r="O58" s="103"/>
      <c r="P58" s="80">
        <f>P$76*'TABLE 4 - October 2016 Dataset'!F58</f>
        <v>1008145.33</v>
      </c>
      <c r="Q58" s="160"/>
      <c r="R58" s="161"/>
      <c r="S58" s="162">
        <f t="shared" si="3"/>
        <v>1008145.33</v>
      </c>
      <c r="T58" s="165">
        <f>T$76*'TABLE 4 - October 2016 Dataset'!I58</f>
        <v>24200.000000000055</v>
      </c>
      <c r="U58" s="165">
        <f>U$76*'TABLE 4 - October 2016 Dataset'!J58</f>
        <v>61643.197674418603</v>
      </c>
      <c r="V58" s="165">
        <f>V$76*'TABLE 4 - October 2016 Dataset'!K58</f>
        <v>0</v>
      </c>
      <c r="W58" s="165">
        <f>W$76*'TABLE 4 - October 2016 Dataset'!L58</f>
        <v>0</v>
      </c>
      <c r="X58" s="165">
        <f>X$76*'TABLE 4 - October 2016 Dataset'!M58</f>
        <v>391.06557377049177</v>
      </c>
      <c r="Y58" s="165">
        <f>Y$76*'TABLE 4 - October 2016 Dataset'!N58</f>
        <v>35376.393442622946</v>
      </c>
      <c r="Z58" s="165">
        <f>Z$76*'TABLE 4 - October 2016 Dataset'!O58</f>
        <v>240.65573770491801</v>
      </c>
      <c r="AA58" s="165">
        <f>AA$76*'TABLE 4 - October 2016 Dataset'!P58</f>
        <v>15642.622950819698</v>
      </c>
      <c r="AB58" s="162">
        <f t="shared" si="4"/>
        <v>137493.9353793367</v>
      </c>
      <c r="AC58" s="140">
        <f>AC$76*'TABLE 4 - October 2016 Dataset'!Q58</f>
        <v>145152.44315943267</v>
      </c>
      <c r="AD58" s="140">
        <f>AD$76*'TABLE 4 - October 2016 Dataset'!R58</f>
        <v>13844.315286624204</v>
      </c>
      <c r="AE58" s="140">
        <f>AE$76*'TABLE 4 - October 2016 Dataset'!S58</f>
        <v>924.29999999998108</v>
      </c>
      <c r="AF58" s="140">
        <f t="shared" si="5"/>
        <v>110000</v>
      </c>
      <c r="AG58" s="140">
        <f>IF('TABLE 4 - October 2016 Dataset'!X58="No",0,"*CHECK*")</f>
        <v>0</v>
      </c>
      <c r="AH58" s="140">
        <f>'TABLE 4 - October 2016 Dataset'!Y58</f>
        <v>18622.64</v>
      </c>
      <c r="AI58" s="170">
        <f>IF('TABLE 4 - October 2016 Dataset'!Z58&gt;0,('TABLE 4 - October 2016 Dataset'!Z58*(1+AI$79))-((AI$76*SUM('TABLE 4 - October 2016 Dataset'!F58:H58))+AI$77),0)</f>
        <v>0</v>
      </c>
      <c r="AJ58" s="166" t="str">
        <f>IF('TABLE 4 - October 2016 Dataset'!AA58="Yes",'TABLE 1 - 2018-19 Provisional'!AJ$76*SUM('TABLE 4 - October 2016 Dataset'!F58:H58),"")</f>
        <v/>
      </c>
      <c r="AK58" s="140">
        <f t="shared" si="6"/>
        <v>0</v>
      </c>
      <c r="AL58" s="94">
        <f t="shared" si="7"/>
        <v>1434182.9638253935</v>
      </c>
      <c r="AM58" s="103"/>
      <c r="AN58" s="80">
        <f t="shared" si="8"/>
        <v>1415560.3238253936</v>
      </c>
      <c r="AO58" s="165">
        <f>AN58/SUM('TABLE 4 - October 2016 Dataset'!F58:H58)</f>
        <v>3857.112598979274</v>
      </c>
      <c r="AP58" s="165">
        <f t="shared" si="2"/>
        <v>0</v>
      </c>
      <c r="AQ58" s="165">
        <f>AP58*SUM('TABLE 4 - October 2016 Dataset'!F58:H58)</f>
        <v>0</v>
      </c>
      <c r="AR58" s="94">
        <f t="shared" si="9"/>
        <v>1434182.9638253935</v>
      </c>
      <c r="AS58" s="103"/>
      <c r="AT58" s="80">
        <f>N58-(AF58+AG58+'TABLE 4 - October 2016 Dataset'!Y58)</f>
        <v>1165105.237663832</v>
      </c>
      <c r="AU58" s="187">
        <f t="shared" si="10"/>
        <v>1305560.3238253936</v>
      </c>
      <c r="AV58" s="165">
        <f t="shared" si="11"/>
        <v>3174.673672108534</v>
      </c>
      <c r="AW58" s="165">
        <f>AU58/SUM('TABLE 4 - October 2016 Dataset'!F58:H58)</f>
        <v>3557.3850785433069</v>
      </c>
      <c r="AX58" s="173">
        <f t="shared" si="12"/>
        <v>0.12055141597611385</v>
      </c>
      <c r="AY58" s="173">
        <f t="shared" si="13"/>
        <v>0</v>
      </c>
      <c r="AZ58" s="175">
        <f t="shared" si="14"/>
        <v>0</v>
      </c>
      <c r="BA58" s="165">
        <f>AZ58*SUM('TABLE 4 - October 2016 Dataset'!F58:H58)</f>
        <v>0</v>
      </c>
      <c r="BB58" s="94">
        <f t="shared" si="15"/>
        <v>1434182.9638253935</v>
      </c>
      <c r="BC58" s="103"/>
      <c r="BD58" s="184">
        <f>'TABLE 3 - Target Illustrative'!AR58-(AF58+AG58+AH58)</f>
        <v>1305560.3238253936</v>
      </c>
      <c r="BE58" s="165">
        <f>BD58/SUM('TABLE 4 - October 2016 Dataset'!F58:H58)</f>
        <v>3557.3850785433069</v>
      </c>
      <c r="BF58" s="173">
        <f t="shared" si="16"/>
        <v>0.12055141597611385</v>
      </c>
      <c r="BG58" s="185">
        <f t="shared" si="17"/>
        <v>2.4110283195222772E-2</v>
      </c>
      <c r="BH58" s="185">
        <f t="shared" si="18"/>
        <v>0.03</v>
      </c>
      <c r="BI58" s="173">
        <f t="shared" si="19"/>
        <v>-9.0551415976113853E-2</v>
      </c>
      <c r="BJ58" s="175">
        <f t="shared" si="20"/>
        <v>-287.47119627151676</v>
      </c>
      <c r="BK58" s="165">
        <f>BJ58*SUM('TABLE 4 - October 2016 Dataset'!F58:H58)</f>
        <v>-105501.92903164665</v>
      </c>
      <c r="BL58" s="94">
        <f t="shared" si="21"/>
        <v>1328681.0347937469</v>
      </c>
      <c r="BM58" s="103"/>
      <c r="BN58" s="179">
        <f t="shared" si="22"/>
        <v>1310058.394793747</v>
      </c>
      <c r="BO58" s="175">
        <f>BN58/SUM('TABLE 4 - October 2016 Dataset'!F58:H58)</f>
        <v>3569.6414027077576</v>
      </c>
      <c r="BP58" s="175">
        <f t="shared" si="23"/>
        <v>0</v>
      </c>
      <c r="BQ58" s="175">
        <f>BP58*SUM('TABLE 4 - October 2016 Dataset'!F58:H58)</f>
        <v>0</v>
      </c>
      <c r="BR58" s="94">
        <f t="shared" si="24"/>
        <v>1328681.0347937469</v>
      </c>
      <c r="BS58" s="103"/>
      <c r="BT58" s="80">
        <f t="shared" si="25"/>
        <v>1293727.8776638319</v>
      </c>
      <c r="BU58" s="122">
        <f t="shared" si="26"/>
        <v>3525.1440808278799</v>
      </c>
      <c r="BV58" s="264">
        <f t="shared" si="27"/>
        <v>1328681.0347937469</v>
      </c>
      <c r="BW58" s="81">
        <f>BV58/SUM('TABLE 4 - October 2016 Dataset'!F58:H58)</f>
        <v>3620.3842909911359</v>
      </c>
      <c r="BX58" s="264">
        <f t="shared" si="28"/>
        <v>34953.157129914965</v>
      </c>
      <c r="BY58" s="81">
        <f t="shared" si="29"/>
        <v>95.240210163256052</v>
      </c>
      <c r="BZ58" s="269">
        <f t="shared" si="30"/>
        <v>2.7017395028259072E-2</v>
      </c>
      <c r="CA58" s="103"/>
      <c r="CB58" s="80">
        <f>'TABLE 5 - DfE Published Figures'!J57</f>
        <v>1314000</v>
      </c>
      <c r="CC58" s="84">
        <f t="shared" si="31"/>
        <v>15000</v>
      </c>
      <c r="CD58" s="81"/>
      <c r="CE58" s="81"/>
      <c r="CF58" s="81"/>
      <c r="CG58" s="81"/>
      <c r="CH58" s="2"/>
    </row>
    <row r="59" spans="2:86" ht="5.0999999999999996" customHeight="1">
      <c r="B59" s="198"/>
      <c r="C59" s="60"/>
      <c r="D59" s="204"/>
      <c r="F59" s="80"/>
      <c r="G59" s="108"/>
      <c r="H59" s="108"/>
      <c r="I59" s="94"/>
      <c r="J59" s="103"/>
      <c r="K59" s="80"/>
      <c r="L59" s="108"/>
      <c r="M59" s="108"/>
      <c r="N59" s="94"/>
      <c r="O59" s="103"/>
      <c r="P59" s="80"/>
      <c r="Q59" s="81"/>
      <c r="R59" s="122"/>
      <c r="S59" s="129"/>
      <c r="T59" s="81"/>
      <c r="U59" s="81"/>
      <c r="V59" s="81"/>
      <c r="W59" s="81"/>
      <c r="X59" s="81"/>
      <c r="Y59" s="81"/>
      <c r="Z59" s="108"/>
      <c r="AA59" s="108"/>
      <c r="AB59" s="129"/>
      <c r="AC59" s="140"/>
      <c r="AD59" s="140"/>
      <c r="AE59" s="140"/>
      <c r="AF59" s="140"/>
      <c r="AG59" s="140"/>
      <c r="AH59" s="140"/>
      <c r="AI59" s="140"/>
      <c r="AJ59" s="140"/>
      <c r="AK59" s="140"/>
      <c r="AL59" s="94"/>
      <c r="AM59" s="103"/>
      <c r="AN59" s="80"/>
      <c r="AO59" s="108"/>
      <c r="AP59" s="108"/>
      <c r="AQ59" s="108"/>
      <c r="AR59" s="94"/>
      <c r="AS59" s="103"/>
      <c r="AT59" s="80"/>
      <c r="AU59" s="108"/>
      <c r="AV59" s="108"/>
      <c r="AW59" s="108"/>
      <c r="AX59" s="108"/>
      <c r="AY59" s="108"/>
      <c r="AZ59" s="108"/>
      <c r="BA59" s="108"/>
      <c r="BB59" s="94"/>
      <c r="BC59" s="103"/>
      <c r="BD59" s="186"/>
      <c r="BE59" s="108"/>
      <c r="BF59" s="81"/>
      <c r="BG59" s="108"/>
      <c r="BH59" s="108"/>
      <c r="BI59" s="108"/>
      <c r="BJ59" s="108"/>
      <c r="BK59" s="108"/>
      <c r="BL59" s="94"/>
      <c r="BM59" s="103"/>
      <c r="BN59" s="80"/>
      <c r="BO59" s="108"/>
      <c r="BP59" s="108"/>
      <c r="BQ59" s="108"/>
      <c r="BR59" s="94"/>
      <c r="BS59" s="103"/>
      <c r="BT59" s="188"/>
      <c r="BU59" s="261"/>
      <c r="BV59" s="265"/>
      <c r="BW59" s="212"/>
      <c r="BX59" s="265"/>
      <c r="BY59" s="212"/>
      <c r="BZ59" s="84"/>
      <c r="CA59" s="103"/>
      <c r="CB59" s="188"/>
      <c r="CC59" s="84"/>
      <c r="CD59" s="81"/>
      <c r="CE59" s="81"/>
      <c r="CF59" s="81"/>
      <c r="CG59" s="81"/>
      <c r="CH59" s="2"/>
    </row>
    <row r="60" spans="2:86" s="104" customFormat="1" ht="15.75">
      <c r="B60" s="205"/>
      <c r="C60" s="85" t="s">
        <v>167</v>
      </c>
      <c r="D60" s="206"/>
      <c r="E60" s="86"/>
      <c r="F60" s="87">
        <f>SUM(F8:F59)</f>
        <v>13737</v>
      </c>
      <c r="G60" s="109">
        <f>SUM(G8:G59)</f>
        <v>13</v>
      </c>
      <c r="H60" s="109">
        <f>SUM(H8:H59)</f>
        <v>-28</v>
      </c>
      <c r="I60" s="89">
        <f>SUM(I8:I59)</f>
        <v>13722</v>
      </c>
      <c r="J60" s="103"/>
      <c r="K60" s="87">
        <f>SUM(K8:K59)</f>
        <v>48114894.574794494</v>
      </c>
      <c r="L60" s="109">
        <f>SUM(L8:L59)</f>
        <v>46866.80025</v>
      </c>
      <c r="M60" s="109">
        <f>SUM(M8:M59)</f>
        <v>88413.836666667019</v>
      </c>
      <c r="N60" s="89">
        <f>SUM(N8:N59)</f>
        <v>48250175.211711168</v>
      </c>
      <c r="O60" s="103"/>
      <c r="P60" s="87">
        <f t="shared" ref="P60:AL60" si="32">SUM(P8:P59)</f>
        <v>37694196.780000001</v>
      </c>
      <c r="Q60" s="88">
        <f t="shared" si="32"/>
        <v>0</v>
      </c>
      <c r="R60" s="123">
        <f t="shared" si="32"/>
        <v>0</v>
      </c>
      <c r="S60" s="130">
        <f t="shared" si="32"/>
        <v>37694196.780000001</v>
      </c>
      <c r="T60" s="88">
        <f t="shared" si="32"/>
        <v>487960.00000000041</v>
      </c>
      <c r="U60" s="88">
        <f t="shared" si="32"/>
        <v>1249500.2014358598</v>
      </c>
      <c r="V60" s="88">
        <f t="shared" si="32"/>
        <v>0</v>
      </c>
      <c r="W60" s="88">
        <f t="shared" si="32"/>
        <v>179442.96541211248</v>
      </c>
      <c r="X60" s="88">
        <f t="shared" si="32"/>
        <v>225975.48366996238</v>
      </c>
      <c r="Y60" s="88">
        <f t="shared" si="32"/>
        <v>267495.8894059977</v>
      </c>
      <c r="Z60" s="88">
        <f t="shared" si="32"/>
        <v>59976.540594302278</v>
      </c>
      <c r="AA60" s="88">
        <f t="shared" si="32"/>
        <v>276104.96070689493</v>
      </c>
      <c r="AB60" s="130">
        <f t="shared" si="32"/>
        <v>2746456.0412251297</v>
      </c>
      <c r="AC60" s="130">
        <f t="shared" si="32"/>
        <v>4087223.1425404581</v>
      </c>
      <c r="AD60" s="130">
        <f t="shared" si="32"/>
        <v>406213.68348489451</v>
      </c>
      <c r="AE60" s="130">
        <f t="shared" si="32"/>
        <v>51547.500000000131</v>
      </c>
      <c r="AF60" s="130">
        <f t="shared" si="32"/>
        <v>5500000</v>
      </c>
      <c r="AG60" s="130">
        <f t="shared" si="32"/>
        <v>0</v>
      </c>
      <c r="AH60" s="130">
        <f t="shared" si="32"/>
        <v>738826.89</v>
      </c>
      <c r="AI60" s="130">
        <f t="shared" si="32"/>
        <v>607741.45499999996</v>
      </c>
      <c r="AJ60" s="130">
        <f t="shared" si="32"/>
        <v>59796</v>
      </c>
      <c r="AK60" s="130">
        <f t="shared" si="32"/>
        <v>0</v>
      </c>
      <c r="AL60" s="89">
        <f t="shared" si="32"/>
        <v>51892001.492250472</v>
      </c>
      <c r="AM60" s="103"/>
      <c r="AN60" s="87">
        <f>SUM(AN8:AN59)</f>
        <v>50485637.147250496</v>
      </c>
      <c r="AO60" s="88">
        <f>AN60/SUM('TABLE 4 - October 2016 Dataset'!F60:H60)</f>
        <v>3679.1748394731449</v>
      </c>
      <c r="AP60" s="88">
        <f t="shared" si="2"/>
        <v>0</v>
      </c>
      <c r="AQ60" s="123">
        <f>SUM(AQ8:AQ59)</f>
        <v>53990.204828079273</v>
      </c>
      <c r="AR60" s="89">
        <f>SUM(AR8:AR59)</f>
        <v>51945991.697078556</v>
      </c>
      <c r="AS60" s="103"/>
      <c r="AT60" s="87">
        <f>SUM(AT8:AT59)</f>
        <v>42011348.321711153</v>
      </c>
      <c r="AU60" s="88">
        <f>SUM(AU8:AU59)</f>
        <v>45707164.807078578</v>
      </c>
      <c r="AV60" s="88">
        <f>AT60/I60</f>
        <v>3061.6053287939917</v>
      </c>
      <c r="AW60" s="88">
        <f>AU60/I60</f>
        <v>3330.9404465149814</v>
      </c>
      <c r="AX60" s="174">
        <f>(AW60/AV60)-1</f>
        <v>8.7971860771187238E-2</v>
      </c>
      <c r="AY60" s="174">
        <f>IF(AX60&lt;AY$76,AY$76-AX60,0)</f>
        <v>0</v>
      </c>
      <c r="AZ60" s="88">
        <f>AY60*AV60</f>
        <v>0</v>
      </c>
      <c r="BA60" s="123">
        <f>SUM(BA8:BA59)</f>
        <v>67957.26639636475</v>
      </c>
      <c r="BB60" s="89">
        <f>SUM(BB8:BB59)</f>
        <v>52013948.963474914</v>
      </c>
      <c r="BC60" s="103"/>
      <c r="BD60" s="87">
        <f>SUM(BD8:BD59)</f>
        <v>46455444.748760656</v>
      </c>
      <c r="BE60" s="88">
        <f>BD60/SUM('TABLE 4 - October 2016 Dataset'!F60:H60)</f>
        <v>3385.471851680561</v>
      </c>
      <c r="BF60" s="174">
        <f t="shared" si="16"/>
        <v>0.10578323725812977</v>
      </c>
      <c r="BG60" s="174">
        <f>IF(BF60&gt;AY$76,BG$76*BF60,"            NA")</f>
        <v>2.1156647451625956E-2</v>
      </c>
      <c r="BH60" s="174">
        <f>IF(BF60&gt;AY$76,IF(BG60&gt;BH$76,BG60,BH$76),AY$76)</f>
        <v>0.03</v>
      </c>
      <c r="BI60" s="174">
        <f>IF(AX60&gt;BH60,BH60-AX60,0)</f>
        <v>-5.7971860771187239E-2</v>
      </c>
      <c r="BJ60" s="178">
        <f>BI60*AW60</f>
        <v>-193.10081580248277</v>
      </c>
      <c r="BK60" s="177">
        <f>SUM(BK8:BK59)</f>
        <v>-2504415.8641424854</v>
      </c>
      <c r="BL60" s="89">
        <f>SUM(BL8:BL59)</f>
        <v>49509533.099332444</v>
      </c>
      <c r="BM60" s="103"/>
      <c r="BN60" s="87">
        <f>SUM(BN8:BN59)</f>
        <v>48103168.754332431</v>
      </c>
      <c r="BO60" s="88">
        <f>BN60/SUM('TABLE 4 - October 2016 Dataset'!F60:H60)</f>
        <v>3505.550849317332</v>
      </c>
      <c r="BP60" s="88">
        <f t="shared" si="23"/>
        <v>0</v>
      </c>
      <c r="BQ60" s="123">
        <f>SUM(BQ8:BQ59)</f>
        <v>835077.13032961264</v>
      </c>
      <c r="BR60" s="89">
        <f>SUM(BR8:BR59)</f>
        <v>50344610.229662053</v>
      </c>
      <c r="BS60" s="103"/>
      <c r="BT60" s="87">
        <f>SUM(BT8:BT59)</f>
        <v>48250175.211711168</v>
      </c>
      <c r="BU60" s="123">
        <f t="shared" si="26"/>
        <v>3516.2640439958582</v>
      </c>
      <c r="BV60" s="266">
        <f>SUM(BV8:BV59)</f>
        <v>50344610.229662053</v>
      </c>
      <c r="BW60" s="88">
        <f>BV60/SUM('TABLE 4 - October 2016 Dataset'!F60:H60)</f>
        <v>3668.8974077876442</v>
      </c>
      <c r="BX60" s="266">
        <f>SUM(BX8:BX59)</f>
        <v>2094435.0179508913</v>
      </c>
      <c r="BY60" s="88">
        <f t="shared" si="29"/>
        <v>152.633363791786</v>
      </c>
      <c r="BZ60" s="270">
        <f t="shared" si="30"/>
        <v>4.3407822018489403E-2</v>
      </c>
      <c r="CA60" s="103"/>
      <c r="CB60" s="87">
        <f>SUM(CB8:CB59)</f>
        <v>50217000</v>
      </c>
      <c r="CC60" s="90">
        <f>SUM(CC8:CC59)</f>
        <v>132000</v>
      </c>
      <c r="CD60" s="83"/>
      <c r="CE60" s="83"/>
      <c r="CF60" s="83"/>
      <c r="CG60" s="83"/>
      <c r="CH60" s="2"/>
    </row>
    <row r="61" spans="2:86" ht="24.95" customHeight="1">
      <c r="B61" s="198"/>
      <c r="C61" s="92" t="s">
        <v>168</v>
      </c>
      <c r="D61" s="207"/>
      <c r="E61" s="92"/>
      <c r="F61" s="80"/>
      <c r="G61" s="108"/>
      <c r="H61" s="108"/>
      <c r="I61" s="94"/>
      <c r="J61" s="103"/>
      <c r="K61" s="80"/>
      <c r="L61" s="108"/>
      <c r="M61" s="108"/>
      <c r="N61" s="94"/>
      <c r="O61" s="103"/>
      <c r="P61" s="80"/>
      <c r="Q61" s="81"/>
      <c r="R61" s="122"/>
      <c r="S61" s="129"/>
      <c r="T61" s="81"/>
      <c r="U61" s="81"/>
      <c r="V61" s="81"/>
      <c r="W61" s="81"/>
      <c r="X61" s="81"/>
      <c r="Y61" s="81"/>
      <c r="Z61" s="108"/>
      <c r="AA61" s="108"/>
      <c r="AB61" s="129"/>
      <c r="AC61" s="140"/>
      <c r="AD61" s="140"/>
      <c r="AE61" s="140"/>
      <c r="AF61" s="140"/>
      <c r="AG61" s="140"/>
      <c r="AH61" s="140"/>
      <c r="AI61" s="140"/>
      <c r="AJ61" s="140"/>
      <c r="AK61" s="140"/>
      <c r="AL61" s="94"/>
      <c r="AM61" s="103"/>
      <c r="AN61" s="80"/>
      <c r="AO61" s="108"/>
      <c r="AP61" s="108"/>
      <c r="AQ61" s="108"/>
      <c r="AR61" s="94"/>
      <c r="AS61" s="103"/>
      <c r="AT61" s="80"/>
      <c r="AU61" s="108"/>
      <c r="AV61" s="108"/>
      <c r="AW61" s="108"/>
      <c r="AX61" s="108"/>
      <c r="AY61" s="108"/>
      <c r="AZ61" s="108"/>
      <c r="BA61" s="108"/>
      <c r="BB61" s="94"/>
      <c r="BC61" s="103"/>
      <c r="BD61" s="186"/>
      <c r="BE61" s="108"/>
      <c r="BF61" s="81"/>
      <c r="BG61" s="108"/>
      <c r="BH61" s="108"/>
      <c r="BI61" s="108"/>
      <c r="BJ61" s="108"/>
      <c r="BK61" s="108"/>
      <c r="BL61" s="94"/>
      <c r="BM61" s="103"/>
      <c r="BN61" s="80"/>
      <c r="BO61" s="108"/>
      <c r="BP61" s="108"/>
      <c r="BQ61" s="108"/>
      <c r="BR61" s="94"/>
      <c r="BS61" s="103"/>
      <c r="BT61" s="80"/>
      <c r="BU61" s="122"/>
      <c r="BV61" s="264"/>
      <c r="BW61" s="81"/>
      <c r="BX61" s="264"/>
      <c r="BY61" s="81"/>
      <c r="BZ61" s="84"/>
      <c r="CA61" s="103"/>
      <c r="CB61" s="80"/>
      <c r="CC61" s="84"/>
      <c r="CD61" s="81"/>
      <c r="CE61" s="81"/>
      <c r="CF61" s="81"/>
      <c r="CG61" s="81"/>
      <c r="CH61" s="2"/>
    </row>
    <row r="62" spans="2:86" ht="15.75">
      <c r="B62" s="198">
        <v>4702</v>
      </c>
      <c r="C62" s="60" t="s">
        <v>10</v>
      </c>
      <c r="D62" s="204"/>
      <c r="F62" s="80">
        <v>892</v>
      </c>
      <c r="G62" s="163"/>
      <c r="H62" s="163"/>
      <c r="I62" s="94">
        <f t="shared" ref="I62:I70" si="33">SUM(F62:H62)</f>
        <v>892</v>
      </c>
      <c r="J62" s="103"/>
      <c r="K62" s="80">
        <v>4233037.7352194302</v>
      </c>
      <c r="L62" s="163"/>
      <c r="M62" s="163"/>
      <c r="N62" s="94">
        <f t="shared" ref="N62:N68" si="34">SUM(K62:M62)</f>
        <v>4233037.7352194302</v>
      </c>
      <c r="O62" s="103"/>
      <c r="P62" s="159"/>
      <c r="Q62" s="81">
        <f>Q$78*'TABLE 4 - October 2016 Dataset'!G62</f>
        <v>2016303.3</v>
      </c>
      <c r="R62" s="122">
        <f>R$78*'TABLE 4 - October 2016 Dataset'!H62</f>
        <v>1622749.7000000002</v>
      </c>
      <c r="S62" s="162">
        <f t="shared" ref="S62:S70" si="35">SUM(P62:R62)</f>
        <v>3639053</v>
      </c>
      <c r="T62" s="165">
        <f>T$78*'TABLE 4 - October 2016 Dataset'!I62</f>
        <v>19360.000000000004</v>
      </c>
      <c r="U62" s="165">
        <f>U$78*'TABLE 4 - October 2016 Dataset'!J62</f>
        <v>93257.291196388251</v>
      </c>
      <c r="V62" s="165">
        <f>V$78*'TABLE 4 - October 2016 Dataset'!K62</f>
        <v>0</v>
      </c>
      <c r="W62" s="165">
        <f>W$78*'TABLE 4 - October 2016 Dataset'!L62</f>
        <v>8456.8848758465192</v>
      </c>
      <c r="X62" s="165">
        <f>X$78*'TABLE 4 - October 2016 Dataset'!M62</f>
        <v>13531.015801354408</v>
      </c>
      <c r="Y62" s="165">
        <f>Y$78*'TABLE 4 - October 2016 Dataset'!N62</f>
        <v>15036.139954853274</v>
      </c>
      <c r="Z62" s="165">
        <f>Z$78*'TABLE 4 - October 2016 Dataset'!O62</f>
        <v>8638.1038374717955</v>
      </c>
      <c r="AA62" s="165">
        <f>AA$78*'TABLE 4 - October 2016 Dataset'!P62</f>
        <v>29196.38826185096</v>
      </c>
      <c r="AB62" s="162">
        <f t="shared" ref="AB62:AB70" si="36">SUM(T62:AA62)</f>
        <v>187475.82392776522</v>
      </c>
      <c r="AC62" s="140">
        <f>AC$78*'TABLE 4 - October 2016 Dataset'!Q62</f>
        <v>230151.63281032039</v>
      </c>
      <c r="AD62" s="140">
        <f>AD$78*'TABLE 4 - October 2016 Dataset'!R62</f>
        <v>40345.923423423475</v>
      </c>
      <c r="AE62" s="140">
        <f>AE$78*'TABLE 4 - October 2016 Dataset'!S62</f>
        <v>0</v>
      </c>
      <c r="AF62" s="140">
        <f t="shared" ref="AF62:AF70" si="37">AF$78</f>
        <v>110000</v>
      </c>
      <c r="AG62" s="140">
        <f>IF('TABLE 4 - October 2016 Dataset'!X62="No",0,"*CHECK*")</f>
        <v>0</v>
      </c>
      <c r="AH62" s="140">
        <f>'TABLE 4 - October 2016 Dataset'!Y62</f>
        <v>23801.78</v>
      </c>
      <c r="AI62" s="170">
        <f>IF('TABLE 4 - October 2016 Dataset'!Z62&gt;0,('TABLE 4 - October 2016 Dataset'!Z62*(1+AI$79))-((AI$76*SUM('TABLE 4 - October 2016 Dataset'!F62:H62))+AI$77),0)</f>
        <v>0</v>
      </c>
      <c r="AJ62" s="140">
        <f>IF('TABLE 4 - October 2016 Dataset'!AA62="Yes",'TABLE 1 - 2018-19 Provisional'!AJ$78*SUM('TABLE 4 - October 2016 Dataset'!F62:H62),"")</f>
        <v>176616</v>
      </c>
      <c r="AK62" s="140">
        <f t="shared" ref="AK62:AK70" si="38">AK$78*SUM(S62,AB62:AJ62)</f>
        <v>0</v>
      </c>
      <c r="AL62" s="94">
        <f t="shared" ref="AL62:AL70" si="39">SUM(S62,AB62:AK62)</f>
        <v>4407444.1601615092</v>
      </c>
      <c r="AM62" s="103"/>
      <c r="AN62" s="80">
        <f>AL62-SUM(AH62:AJ62)</f>
        <v>4207026.3801615089</v>
      </c>
      <c r="AO62" s="165">
        <f>AN62/SUM('TABLE 4 - October 2016 Dataset'!F62:H62)</f>
        <v>4716.3972871765791</v>
      </c>
      <c r="AP62" s="165">
        <f t="shared" ref="AP62:AP70" si="40">IF(AO62&lt;AP$78,AP$78-AO62,0)</f>
        <v>0</v>
      </c>
      <c r="AQ62" s="165">
        <f>AP62*SUM('TABLE 4 - October 2016 Dataset'!F62:H62)</f>
        <v>0</v>
      </c>
      <c r="AR62" s="94">
        <f>AL62+AQ62</f>
        <v>4407444.1601615092</v>
      </c>
      <c r="AS62" s="103"/>
      <c r="AT62" s="80">
        <f>N62-(AF62+AG62+'TABLE 4 - October 2016 Dataset'!Y62)</f>
        <v>4099235.9552194304</v>
      </c>
      <c r="AU62" s="187">
        <f>AR62-(AF62+AG62+AH62)</f>
        <v>4273642.3801615089</v>
      </c>
      <c r="AV62" s="165">
        <f>AT62/I62</f>
        <v>4595.5560036092265</v>
      </c>
      <c r="AW62" s="165">
        <f>AU62/SUM('TABLE 4 - October 2016 Dataset'!F62:H62)</f>
        <v>4791.0789015263554</v>
      </c>
      <c r="AX62" s="173">
        <f>(AW62/AV62)-1</f>
        <v>4.2546080988583368E-2</v>
      </c>
      <c r="AY62" s="173">
        <f t="shared" ref="AY62:AY70" si="41">IF(AX62&lt;AY$78,AY$78-AX62,0)</f>
        <v>0</v>
      </c>
      <c r="AZ62" s="175">
        <f>AY62*AV62</f>
        <v>0</v>
      </c>
      <c r="BA62" s="165">
        <f>AZ62*SUM('TABLE 4 - October 2016 Dataset'!F62:H62)</f>
        <v>0</v>
      </c>
      <c r="BB62" s="94">
        <f>AR62+BA62</f>
        <v>4407444.1601615092</v>
      </c>
      <c r="BC62" s="103"/>
      <c r="BD62" s="184">
        <f>'TABLE 3 - Target Illustrative'!AR62-(AF62+AG62+AH62)</f>
        <v>4348216</v>
      </c>
      <c r="BE62" s="165">
        <f>BD62/SUM('TABLE 4 - October 2016 Dataset'!F62:H62)</f>
        <v>4874.6816143497754</v>
      </c>
      <c r="BF62" s="173">
        <f>BE62/AV62-1</f>
        <v>6.073815889118328E-2</v>
      </c>
      <c r="BG62" s="185">
        <f t="shared" ref="BG62:BG70" si="42">IF(BF62&gt;AY$78,BG$78*BF62,"            NA")</f>
        <v>1.2147631778236656E-2</v>
      </c>
      <c r="BH62" s="185">
        <f t="shared" ref="BH62:BH70" si="43">IF(BF62&gt;AY$78,IF(BG62&gt;BH$78,BG62,IF(AX62&lt;BH$78,AX62,BH$78)),AY$78)</f>
        <v>0.03</v>
      </c>
      <c r="BI62" s="173">
        <f>IF(AX62&gt;BH62,BH62-AX62,0)</f>
        <v>-1.2546080988583369E-2</v>
      </c>
      <c r="BJ62" s="175">
        <f t="shared" ref="BJ62:BJ70" si="44">BI62*AV62</f>
        <v>-57.656217808851885</v>
      </c>
      <c r="BK62" s="165">
        <f>BJ62*SUM('TABLE 4 - October 2016 Dataset'!F62:H62)</f>
        <v>-51429.346285495878</v>
      </c>
      <c r="BL62" s="94">
        <f>BB62+BK62</f>
        <v>4356014.8138760133</v>
      </c>
      <c r="BM62" s="103"/>
      <c r="BN62" s="179">
        <f>BL62-SUM(AH62:AJ62)</f>
        <v>4155597.0338760135</v>
      </c>
      <c r="BO62" s="175">
        <f>BN62/SUM('TABLE 4 - October 2016 Dataset'!F62:H62)</f>
        <v>4658.7410693677284</v>
      </c>
      <c r="BP62" s="175">
        <f t="shared" ref="BP62:BP70" si="45">IF(BO62&lt;BP$78,BP$78-BO62,0)</f>
        <v>0</v>
      </c>
      <c r="BQ62" s="175">
        <f>BP62*SUM('TABLE 4 - October 2016 Dataset'!F62:H62)</f>
        <v>0</v>
      </c>
      <c r="BR62" s="94">
        <f t="shared" ref="BR62:BR70" si="46">BL62+BQ62</f>
        <v>4356014.8138760133</v>
      </c>
      <c r="BS62" s="103"/>
      <c r="BT62" s="80">
        <f t="shared" ref="BT62:BT70" si="47">N62</f>
        <v>4233037.7352194302</v>
      </c>
      <c r="BU62" s="122">
        <f t="shared" ref="BU62:BU74" si="48">BT62/I62</f>
        <v>4745.5579991249215</v>
      </c>
      <c r="BV62" s="264">
        <f t="shared" ref="BV62:BV70" si="49">BR62</f>
        <v>4356014.8138760133</v>
      </c>
      <c r="BW62" s="81">
        <f>BV62/SUM('TABLE 4 - October 2016 Dataset'!F62:H62)</f>
        <v>4883.4246792331987</v>
      </c>
      <c r="BX62" s="264">
        <f t="shared" ref="BX62:BX70" si="50">BV62-BT62</f>
        <v>122977.07865658309</v>
      </c>
      <c r="BY62" s="81">
        <f t="shared" ref="BY62:BY70" si="51">BW62-BU62</f>
        <v>137.86668010827725</v>
      </c>
      <c r="BZ62" s="269">
        <f t="shared" ref="BZ62:BZ70" si="52">BY62/BU62</f>
        <v>2.9051732195391942E-2</v>
      </c>
      <c r="CA62" s="103"/>
      <c r="CB62" s="80">
        <f>'TABLE 5 - DfE Published Figures'!J61</f>
        <v>4315000</v>
      </c>
      <c r="CC62" s="84">
        <f t="shared" ref="CC62:CC70" si="53">ROUND(BR62,-3)-CB62</f>
        <v>41000</v>
      </c>
      <c r="CD62" s="81"/>
      <c r="CE62" s="81"/>
      <c r="CF62" s="81"/>
      <c r="CG62" s="81"/>
      <c r="CH62" s="2"/>
    </row>
    <row r="63" spans="2:86" ht="15.75">
      <c r="B63" s="198">
        <v>4500</v>
      </c>
      <c r="C63" s="60" t="s">
        <v>12</v>
      </c>
      <c r="D63" s="204" t="s">
        <v>70</v>
      </c>
      <c r="F63" s="80">
        <v>1119</v>
      </c>
      <c r="G63" s="163"/>
      <c r="H63" s="163"/>
      <c r="I63" s="94">
        <f t="shared" si="33"/>
        <v>1119</v>
      </c>
      <c r="J63" s="103"/>
      <c r="K63" s="80">
        <v>5195274.0768973688</v>
      </c>
      <c r="L63" s="163"/>
      <c r="M63" s="163"/>
      <c r="N63" s="94">
        <f t="shared" si="34"/>
        <v>5195274.0768973688</v>
      </c>
      <c r="O63" s="103"/>
      <c r="P63" s="159"/>
      <c r="Q63" s="81">
        <f>Q$78*'TABLE 4 - October 2016 Dataset'!G63</f>
        <v>2831322.45</v>
      </c>
      <c r="R63" s="122">
        <f>R$78*'TABLE 4 - October 2016 Dataset'!H63</f>
        <v>1692922.6600000001</v>
      </c>
      <c r="S63" s="162">
        <f t="shared" si="35"/>
        <v>4524245.1100000003</v>
      </c>
      <c r="T63" s="165">
        <f>T$78*'TABLE 4 - October 2016 Dataset'!I63</f>
        <v>44440</v>
      </c>
      <c r="U63" s="165">
        <f>U$78*'TABLE 4 - October 2016 Dataset'!J63</f>
        <v>177396.98048780489</v>
      </c>
      <c r="V63" s="165">
        <f>V$78*'TABLE 4 - October 2016 Dataset'!K63</f>
        <v>0</v>
      </c>
      <c r="W63" s="165">
        <f>W$78*'TABLE 4 - October 2016 Dataset'!L63</f>
        <v>60708.504923903296</v>
      </c>
      <c r="X63" s="165">
        <f>X$78*'TABLE 4 - October 2016 Dataset'!M63</f>
        <v>6171.0295434198733</v>
      </c>
      <c r="Y63" s="165">
        <f>Y$78*'TABLE 4 - October 2016 Dataset'!N63</f>
        <v>4127.3769024171925</v>
      </c>
      <c r="Z63" s="165">
        <f>Z$78*'TABLE 4 - October 2016 Dataset'!O63</f>
        <v>1172.0948970456589</v>
      </c>
      <c r="AA63" s="165">
        <f>AA$78*'TABLE 4 - October 2016 Dataset'!P63</f>
        <v>69724.619516562263</v>
      </c>
      <c r="AB63" s="162">
        <f t="shared" si="36"/>
        <v>363740.60627115314</v>
      </c>
      <c r="AC63" s="140">
        <f>AC$78*'TABLE 4 - October 2016 Dataset'!Q63</f>
        <v>398589.63396218396</v>
      </c>
      <c r="AD63" s="140">
        <f>AD$78*'TABLE 4 - October 2016 Dataset'!R63</f>
        <v>38814.686940965978</v>
      </c>
      <c r="AE63" s="140">
        <f>AE$78*'TABLE 4 - October 2016 Dataset'!S63</f>
        <v>0</v>
      </c>
      <c r="AF63" s="140">
        <f t="shared" si="37"/>
        <v>110000</v>
      </c>
      <c r="AG63" s="140">
        <f>IF('TABLE 4 - October 2016 Dataset'!X63="No",0,"*CHECK*")</f>
        <v>0</v>
      </c>
      <c r="AH63" s="140">
        <f>'TABLE 4 - October 2016 Dataset'!Y63</f>
        <v>36112.06</v>
      </c>
      <c r="AI63" s="170">
        <f>IF('TABLE 4 - October 2016 Dataset'!Z63&gt;0,('TABLE 4 - October 2016 Dataset'!Z63*(1+AI$79))-((AI$76*SUM('TABLE 4 - October 2016 Dataset'!F63:H63))+AI$77),0)</f>
        <v>0</v>
      </c>
      <c r="AJ63" s="166" t="str">
        <f>IF('TABLE 4 - October 2016 Dataset'!AA63="Yes",'TABLE 1 - 2018-19 Provisional'!AJ$78*SUM('TABLE 4 - October 2016 Dataset'!F63:H63),"")</f>
        <v/>
      </c>
      <c r="AK63" s="140">
        <f t="shared" si="38"/>
        <v>0</v>
      </c>
      <c r="AL63" s="94">
        <f t="shared" si="39"/>
        <v>5471502.0971743036</v>
      </c>
      <c r="AM63" s="103"/>
      <c r="AN63" s="80">
        <f t="shared" ref="AN63:AN70" si="54">AL63-SUM(AH63:AJ63)</f>
        <v>5435390.037174304</v>
      </c>
      <c r="AO63" s="165">
        <f>AN63/SUM('TABLE 4 - October 2016 Dataset'!F63:H63)</f>
        <v>4857.363750826009</v>
      </c>
      <c r="AP63" s="165">
        <f t="shared" si="40"/>
        <v>0</v>
      </c>
      <c r="AQ63" s="165">
        <f>AP63*SUM('TABLE 4 - October 2016 Dataset'!F63:H63)</f>
        <v>0</v>
      </c>
      <c r="AR63" s="94">
        <f t="shared" ref="AR63:AR70" si="55">AL63+AQ63</f>
        <v>5471502.0971743036</v>
      </c>
      <c r="AS63" s="103"/>
      <c r="AT63" s="80">
        <f>N63-(AF63+AG63+'TABLE 4 - October 2016 Dataset'!Y63)</f>
        <v>5049162.0168973692</v>
      </c>
      <c r="AU63" s="187">
        <f t="shared" ref="AU63:AU70" si="56">AR63-(AF63+AG63+AH63)</f>
        <v>5325390.037174304</v>
      </c>
      <c r="AV63" s="165">
        <f t="shared" ref="AV63:AV70" si="57">AT63/I63</f>
        <v>4512.2091303819207</v>
      </c>
      <c r="AW63" s="165">
        <f>AU63/SUM('TABLE 4 - October 2016 Dataset'!F63:H63)</f>
        <v>4759.0616954193956</v>
      </c>
      <c r="AX63" s="173">
        <f t="shared" ref="AX63:AX70" si="58">(AW63/AV63)-1</f>
        <v>5.4707695921128785E-2</v>
      </c>
      <c r="AY63" s="173">
        <f t="shared" si="41"/>
        <v>0</v>
      </c>
      <c r="AZ63" s="175">
        <f t="shared" ref="AZ63:AZ70" si="59">AY63*AV63</f>
        <v>0</v>
      </c>
      <c r="BA63" s="165">
        <f>AZ63*SUM('TABLE 4 - October 2016 Dataset'!F63:H63)</f>
        <v>0</v>
      </c>
      <c r="BB63" s="94">
        <f t="shared" ref="BB63:BB70" si="60">AR63+BA63</f>
        <v>5471502.0971743036</v>
      </c>
      <c r="BC63" s="103"/>
      <c r="BD63" s="184">
        <f>'TABLE 3 - Target Illustrative'!AR63-(AF63+AG63+AH63)</f>
        <v>5325390.037174304</v>
      </c>
      <c r="BE63" s="165">
        <f>BD63/SUM('TABLE 4 - October 2016 Dataset'!F63:H63)</f>
        <v>4759.0616954193956</v>
      </c>
      <c r="BF63" s="173">
        <f t="shared" ref="BF63:BF70" si="61">BE63/AV63-1</f>
        <v>5.4707695921128785E-2</v>
      </c>
      <c r="BG63" s="185">
        <f t="shared" si="42"/>
        <v>1.0941539184225758E-2</v>
      </c>
      <c r="BH63" s="185">
        <f t="shared" si="43"/>
        <v>0.03</v>
      </c>
      <c r="BI63" s="173">
        <f t="shared" ref="BI63:BI70" si="62">IF(AX63&gt;BH63,BH63-AX63,0)</f>
        <v>-2.4707695921128786E-2</v>
      </c>
      <c r="BJ63" s="175">
        <f t="shared" si="44"/>
        <v>-111.48629112601745</v>
      </c>
      <c r="BK63" s="165">
        <f>BJ63*SUM('TABLE 4 - October 2016 Dataset'!F63:H63)</f>
        <v>-124753.15977001353</v>
      </c>
      <c r="BL63" s="94">
        <f t="shared" ref="BL63:BL70" si="63">BB63+BK63</f>
        <v>5346748.9374042898</v>
      </c>
      <c r="BM63" s="103"/>
      <c r="BN63" s="179">
        <f t="shared" ref="BN63:BN70" si="64">BL63-SUM(AH63:AJ63)</f>
        <v>5310636.8774042903</v>
      </c>
      <c r="BO63" s="175">
        <f>BN63/SUM('TABLE 4 - October 2016 Dataset'!F63:H63)</f>
        <v>4745.8774596999911</v>
      </c>
      <c r="BP63" s="175">
        <f t="shared" si="45"/>
        <v>0</v>
      </c>
      <c r="BQ63" s="175">
        <f>BP63*SUM('TABLE 4 - October 2016 Dataset'!F63:H63)</f>
        <v>0</v>
      </c>
      <c r="BR63" s="94">
        <f t="shared" si="46"/>
        <v>5346748.9374042898</v>
      </c>
      <c r="BS63" s="103"/>
      <c r="BT63" s="80">
        <f t="shared" si="47"/>
        <v>5195274.0768973688</v>
      </c>
      <c r="BU63" s="122">
        <f t="shared" si="48"/>
        <v>4642.7829105427782</v>
      </c>
      <c r="BV63" s="264">
        <f t="shared" si="49"/>
        <v>5346748.9374042898</v>
      </c>
      <c r="BW63" s="81">
        <f>BV63/SUM('TABLE 4 - October 2016 Dataset'!F63:H63)</f>
        <v>4778.1491844542361</v>
      </c>
      <c r="BX63" s="264">
        <f t="shared" si="50"/>
        <v>151474.86050692108</v>
      </c>
      <c r="BY63" s="81">
        <f t="shared" si="51"/>
        <v>135.36627391145794</v>
      </c>
      <c r="BZ63" s="269">
        <f t="shared" si="52"/>
        <v>2.9156279007590418E-2</v>
      </c>
      <c r="CA63" s="103"/>
      <c r="CB63" s="80">
        <f>'TABLE 5 - DfE Published Figures'!J62</f>
        <v>5311000</v>
      </c>
      <c r="CC63" s="84">
        <f t="shared" si="53"/>
        <v>36000</v>
      </c>
      <c r="CD63" s="81"/>
      <c r="CE63" s="81"/>
      <c r="CF63" s="81"/>
      <c r="CG63" s="81"/>
      <c r="CH63" s="2"/>
    </row>
    <row r="64" spans="2:86" ht="15.75">
      <c r="B64" s="198">
        <v>4153</v>
      </c>
      <c r="C64" s="60" t="s">
        <v>7</v>
      </c>
      <c r="D64" s="204"/>
      <c r="F64" s="80">
        <v>1089</v>
      </c>
      <c r="G64" s="108">
        <v>10</v>
      </c>
      <c r="H64" s="163"/>
      <c r="I64" s="94">
        <f t="shared" si="33"/>
        <v>1099</v>
      </c>
      <c r="J64" s="103"/>
      <c r="K64" s="80">
        <v>4893015.9606378665</v>
      </c>
      <c r="L64" s="108">
        <v>42124.279130000003</v>
      </c>
      <c r="M64" s="163"/>
      <c r="N64" s="94">
        <f t="shared" si="34"/>
        <v>4935140.2397678662</v>
      </c>
      <c r="O64" s="103"/>
      <c r="P64" s="159"/>
      <c r="Q64" s="81">
        <f>Q$78*'TABLE 4 - October 2016 Dataset'!G64</f>
        <v>2626602</v>
      </c>
      <c r="R64" s="122">
        <f>R$78*'TABLE 4 - October 2016 Dataset'!H64</f>
        <v>1837654.3900000001</v>
      </c>
      <c r="S64" s="162">
        <f t="shared" si="35"/>
        <v>4464256.3900000006</v>
      </c>
      <c r="T64" s="165">
        <f>T$78*'TABLE 4 - October 2016 Dataset'!I64</f>
        <v>14080.000000000013</v>
      </c>
      <c r="U64" s="165">
        <f>U$78*'TABLE 4 - October 2016 Dataset'!J64</f>
        <v>63669.003690036901</v>
      </c>
      <c r="V64" s="165">
        <f>V$78*'TABLE 4 - October 2016 Dataset'!K64</f>
        <v>0</v>
      </c>
      <c r="W64" s="165">
        <f>W$78*'TABLE 4 - October 2016 Dataset'!L64</f>
        <v>601.0938924339107</v>
      </c>
      <c r="X64" s="165">
        <f>X$78*'TABLE 4 - October 2016 Dataset'!M64</f>
        <v>5049.1886964448486</v>
      </c>
      <c r="Y64" s="165">
        <f>Y$78*'TABLE 4 - October 2016 Dataset'!N64</f>
        <v>0</v>
      </c>
      <c r="Z64" s="165">
        <f>Z$78*'TABLE 4 - October 2016 Dataset'!O64</f>
        <v>390.71103008204199</v>
      </c>
      <c r="AA64" s="165">
        <f>AA$78*'TABLE 4 - October 2016 Dataset'!P64</f>
        <v>1452.6435733819508</v>
      </c>
      <c r="AB64" s="162">
        <f t="shared" si="36"/>
        <v>85242.640882379666</v>
      </c>
      <c r="AC64" s="140">
        <f>AC$78*'TABLE 4 - October 2016 Dataset'!Q64</f>
        <v>266890.635825295</v>
      </c>
      <c r="AD64" s="140">
        <f>AD$78*'TABLE 4 - October 2016 Dataset'!R64</f>
        <v>13938.782051282053</v>
      </c>
      <c r="AE64" s="140">
        <f>AE$78*'TABLE 4 - October 2016 Dataset'!S64</f>
        <v>0</v>
      </c>
      <c r="AF64" s="140">
        <f t="shared" si="37"/>
        <v>110000</v>
      </c>
      <c r="AG64" s="140">
        <f>IF('TABLE 4 - October 2016 Dataset'!X64="No",0,"*CHECK*")</f>
        <v>0</v>
      </c>
      <c r="AH64" s="140">
        <f>'TABLE 4 - October 2016 Dataset'!Y64</f>
        <v>144205.85999999999</v>
      </c>
      <c r="AI64" s="170">
        <f>IF('TABLE 4 - October 2016 Dataset'!Z64&gt;0,('TABLE 4 - October 2016 Dataset'!Z64*(1+AI$79))-((AI$76*SUM('TABLE 4 - October 2016 Dataset'!F64:H64))+AI$77),0)</f>
        <v>0</v>
      </c>
      <c r="AJ64" s="166" t="str">
        <f>IF('TABLE 4 - October 2016 Dataset'!AA64="Yes",'TABLE 1 - 2018-19 Provisional'!AJ$78*SUM('TABLE 4 - October 2016 Dataset'!F64:H64),"")</f>
        <v/>
      </c>
      <c r="AK64" s="140">
        <f t="shared" si="38"/>
        <v>0</v>
      </c>
      <c r="AL64" s="94">
        <f t="shared" si="39"/>
        <v>5084534.3087589573</v>
      </c>
      <c r="AM64" s="103"/>
      <c r="AN64" s="80">
        <f t="shared" si="54"/>
        <v>4940328.448758957</v>
      </c>
      <c r="AO64" s="165">
        <f>AN64/SUM('TABLE 4 - October 2016 Dataset'!F64:H64)</f>
        <v>4495.2943118825815</v>
      </c>
      <c r="AP64" s="165">
        <f t="shared" si="40"/>
        <v>104.7056881174185</v>
      </c>
      <c r="AQ64" s="165">
        <f>AP64*SUM('TABLE 4 - October 2016 Dataset'!F64:H64)</f>
        <v>115071.55124104294</v>
      </c>
      <c r="AR64" s="94">
        <f t="shared" si="55"/>
        <v>5199605.8600000003</v>
      </c>
      <c r="AS64" s="103"/>
      <c r="AT64" s="80">
        <f>N64-(AF64+AG64+'TABLE 4 - October 2016 Dataset'!Y64)</f>
        <v>4680934.3797678659</v>
      </c>
      <c r="AU64" s="187">
        <f t="shared" si="56"/>
        <v>4945400</v>
      </c>
      <c r="AV64" s="165">
        <f t="shared" si="57"/>
        <v>4259.2669515631169</v>
      </c>
      <c r="AW64" s="165">
        <f>AU64/SUM('TABLE 4 - October 2016 Dataset'!F64:H64)</f>
        <v>4499.9090081892627</v>
      </c>
      <c r="AX64" s="173">
        <f t="shared" si="58"/>
        <v>5.6498467779257711E-2</v>
      </c>
      <c r="AY64" s="173">
        <f t="shared" si="41"/>
        <v>0</v>
      </c>
      <c r="AZ64" s="175">
        <f t="shared" si="59"/>
        <v>0</v>
      </c>
      <c r="BA64" s="165">
        <f>AZ64*SUM('TABLE 4 - October 2016 Dataset'!F64:H64)</f>
        <v>0</v>
      </c>
      <c r="BB64" s="94">
        <f t="shared" si="60"/>
        <v>5199605.8600000003</v>
      </c>
      <c r="BC64" s="103"/>
      <c r="BD64" s="184">
        <f>'TABLE 3 - Target Illustrative'!AR64-(AF64+AG64+AH64)</f>
        <v>5165200</v>
      </c>
      <c r="BE64" s="165">
        <f>BD64/SUM('TABLE 4 - October 2016 Dataset'!F64:H64)</f>
        <v>4699.9090081892627</v>
      </c>
      <c r="BF64" s="173">
        <f t="shared" si="61"/>
        <v>0.10345490471416308</v>
      </c>
      <c r="BG64" s="185">
        <f t="shared" si="42"/>
        <v>2.0690980942832615E-2</v>
      </c>
      <c r="BH64" s="185">
        <f t="shared" si="43"/>
        <v>0.03</v>
      </c>
      <c r="BI64" s="173">
        <f t="shared" si="62"/>
        <v>-2.6498467779257712E-2</v>
      </c>
      <c r="BJ64" s="175">
        <f t="shared" si="44"/>
        <v>-112.86404807925247</v>
      </c>
      <c r="BK64" s="165">
        <f>BJ64*SUM('TABLE 4 - October 2016 Dataset'!F64:H64)</f>
        <v>-124037.58883909846</v>
      </c>
      <c r="BL64" s="94">
        <f t="shared" si="63"/>
        <v>5075568.2711609015</v>
      </c>
      <c r="BM64" s="103"/>
      <c r="BN64" s="179">
        <f t="shared" si="64"/>
        <v>4931362.4111609012</v>
      </c>
      <c r="BO64" s="175">
        <f>BN64/SUM('TABLE 4 - October 2016 Dataset'!F64:H64)</f>
        <v>4487.1359519207472</v>
      </c>
      <c r="BP64" s="175">
        <f t="shared" si="45"/>
        <v>112.86404807925283</v>
      </c>
      <c r="BQ64" s="175">
        <f>BP64*SUM('TABLE 4 - October 2016 Dataset'!F64:H64)</f>
        <v>124037.58883909885</v>
      </c>
      <c r="BR64" s="94">
        <f t="shared" si="46"/>
        <v>5199605.8600000003</v>
      </c>
      <c r="BS64" s="103"/>
      <c r="BT64" s="80">
        <f t="shared" si="47"/>
        <v>4935140.2397678662</v>
      </c>
      <c r="BU64" s="122">
        <f t="shared" si="48"/>
        <v>4490.5734665767659</v>
      </c>
      <c r="BV64" s="264">
        <f t="shared" si="49"/>
        <v>5199605.8600000003</v>
      </c>
      <c r="BW64" s="81">
        <f>BV64/SUM('TABLE 4 - October 2016 Dataset'!F64:H64)</f>
        <v>4731.2155232029118</v>
      </c>
      <c r="BX64" s="264">
        <f t="shared" si="50"/>
        <v>264465.62023213413</v>
      </c>
      <c r="BY64" s="81">
        <f t="shared" si="51"/>
        <v>240.64205662614586</v>
      </c>
      <c r="BZ64" s="269">
        <f t="shared" si="52"/>
        <v>5.3588268495602866E-2</v>
      </c>
      <c r="CA64" s="103"/>
      <c r="CB64" s="80">
        <f>'TABLE 5 - DfE Published Figures'!J63</f>
        <v>5200000</v>
      </c>
      <c r="CC64" s="84">
        <f t="shared" si="53"/>
        <v>0</v>
      </c>
      <c r="CD64" s="81"/>
      <c r="CE64" s="81"/>
      <c r="CF64" s="81"/>
      <c r="CG64" s="81"/>
      <c r="CH64" s="2"/>
    </row>
    <row r="65" spans="2:86" ht="15.75">
      <c r="B65" s="198">
        <v>4063</v>
      </c>
      <c r="C65" s="60" t="s">
        <v>35</v>
      </c>
      <c r="D65" s="204"/>
      <c r="F65" s="80">
        <v>1181</v>
      </c>
      <c r="G65" s="163"/>
      <c r="H65" s="163"/>
      <c r="I65" s="94">
        <f t="shared" si="33"/>
        <v>1181</v>
      </c>
      <c r="J65" s="103"/>
      <c r="K65" s="80">
        <v>5408302.1560505908</v>
      </c>
      <c r="L65" s="163"/>
      <c r="M65" s="163"/>
      <c r="N65" s="94">
        <f t="shared" si="34"/>
        <v>5408302.1560505908</v>
      </c>
      <c r="O65" s="103"/>
      <c r="P65" s="159"/>
      <c r="Q65" s="81">
        <f>Q$78*'TABLE 4 - October 2016 Dataset'!G65</f>
        <v>2808146.5500000003</v>
      </c>
      <c r="R65" s="122">
        <f>R$78*'TABLE 4 - October 2016 Dataset'!H65</f>
        <v>1991157.7400000002</v>
      </c>
      <c r="S65" s="162">
        <f t="shared" si="35"/>
        <v>4799304.290000001</v>
      </c>
      <c r="T65" s="165">
        <f>T$78*'TABLE 4 - October 2016 Dataset'!I65</f>
        <v>26840.000000000007</v>
      </c>
      <c r="U65" s="165">
        <f>U$78*'TABLE 4 - October 2016 Dataset'!J65</f>
        <v>161336.87012987013</v>
      </c>
      <c r="V65" s="165">
        <f>V$78*'TABLE 4 - October 2016 Dataset'!K65</f>
        <v>0</v>
      </c>
      <c r="W65" s="165">
        <f>W$78*'TABLE 4 - October 2016 Dataset'!L65</f>
        <v>6015.2801358234337</v>
      </c>
      <c r="X65" s="165">
        <f>X$78*'TABLE 4 - October 2016 Dataset'!M65</f>
        <v>1122.8522920203741</v>
      </c>
      <c r="Y65" s="165">
        <f>Y$78*'TABLE 4 - October 2016 Dataset'!N65</f>
        <v>30978.692699490679</v>
      </c>
      <c r="Z65" s="165">
        <f>Z$78*'TABLE 4 - October 2016 Dataset'!O65</f>
        <v>8601.850594227486</v>
      </c>
      <c r="AA65" s="165">
        <f>AA$78*'TABLE 4 - October 2016 Dataset'!P65</f>
        <v>17153.573853989816</v>
      </c>
      <c r="AB65" s="162">
        <f t="shared" si="36"/>
        <v>252049.11970542191</v>
      </c>
      <c r="AC65" s="140">
        <f>AC$78*'TABLE 4 - October 2016 Dataset'!Q65</f>
        <v>310801.64998872322</v>
      </c>
      <c r="AD65" s="140">
        <f>AD$78*'TABLE 4 - October 2016 Dataset'!R65</f>
        <v>15273.798811544992</v>
      </c>
      <c r="AE65" s="140">
        <f>AE$78*'TABLE 4 - October 2016 Dataset'!S65</f>
        <v>0</v>
      </c>
      <c r="AF65" s="140">
        <f t="shared" si="37"/>
        <v>110000</v>
      </c>
      <c r="AG65" s="140">
        <f>IF('TABLE 4 - October 2016 Dataset'!X65="No",0,"*CHECK*")</f>
        <v>0</v>
      </c>
      <c r="AH65" s="140">
        <f>'TABLE 4 - October 2016 Dataset'!Y65</f>
        <v>186619.35</v>
      </c>
      <c r="AI65" s="170">
        <f>IF('TABLE 4 - October 2016 Dataset'!Z65&gt;0,('TABLE 4 - October 2016 Dataset'!Z65*(1+AI$79))-((AI$76*SUM('TABLE 4 - October 2016 Dataset'!F65:H65))+AI$77),0)</f>
        <v>0</v>
      </c>
      <c r="AJ65" s="166" t="str">
        <f>IF('TABLE 4 - October 2016 Dataset'!AA65="Yes",'TABLE 1 - 2018-19 Provisional'!AJ$78*SUM('TABLE 4 - October 2016 Dataset'!F65:H65),"")</f>
        <v/>
      </c>
      <c r="AK65" s="140">
        <f t="shared" si="38"/>
        <v>0</v>
      </c>
      <c r="AL65" s="94">
        <f t="shared" si="39"/>
        <v>5674048.2085056901</v>
      </c>
      <c r="AM65" s="103"/>
      <c r="AN65" s="80">
        <f t="shared" si="54"/>
        <v>5487428.8585056905</v>
      </c>
      <c r="AO65" s="165">
        <f>AN65/SUM('TABLE 4 - October 2016 Dataset'!F65:H65)</f>
        <v>4646.4257904366559</v>
      </c>
      <c r="AP65" s="165">
        <f t="shared" si="40"/>
        <v>0</v>
      </c>
      <c r="AQ65" s="165">
        <f>AP65*SUM('TABLE 4 - October 2016 Dataset'!F65:H65)</f>
        <v>0</v>
      </c>
      <c r="AR65" s="94">
        <f t="shared" si="55"/>
        <v>5674048.2085056901</v>
      </c>
      <c r="AS65" s="103"/>
      <c r="AT65" s="80">
        <f>N65-(AF65+AG65+'TABLE 4 - October 2016 Dataset'!Y65)</f>
        <v>5111682.8060505912</v>
      </c>
      <c r="AU65" s="187">
        <f t="shared" si="56"/>
        <v>5377428.8585056905</v>
      </c>
      <c r="AV65" s="165">
        <f t="shared" si="57"/>
        <v>4328.2665588912714</v>
      </c>
      <c r="AW65" s="165">
        <f>AU65/SUM('TABLE 4 - October 2016 Dataset'!F65:H65)</f>
        <v>4553.2843848481716</v>
      </c>
      <c r="AX65" s="173">
        <f t="shared" si="58"/>
        <v>5.1987977841766897E-2</v>
      </c>
      <c r="AY65" s="173">
        <f t="shared" si="41"/>
        <v>0</v>
      </c>
      <c r="AZ65" s="175">
        <f t="shared" si="59"/>
        <v>0</v>
      </c>
      <c r="BA65" s="165">
        <f>AZ65*SUM('TABLE 4 - October 2016 Dataset'!F65:H65)</f>
        <v>0</v>
      </c>
      <c r="BB65" s="94">
        <f t="shared" si="60"/>
        <v>5674048.2085056901</v>
      </c>
      <c r="BC65" s="103"/>
      <c r="BD65" s="184">
        <f>'TABLE 3 - Target Illustrative'!AR65-(AF65+AG65+AH65)</f>
        <v>5558800</v>
      </c>
      <c r="BE65" s="165">
        <f>BD65/SUM('TABLE 4 - October 2016 Dataset'!F65:H65)</f>
        <v>4706.8585944115157</v>
      </c>
      <c r="BF65" s="173">
        <f t="shared" si="61"/>
        <v>8.7469667214124636E-2</v>
      </c>
      <c r="BG65" s="185">
        <f t="shared" si="42"/>
        <v>1.7493933442824929E-2</v>
      </c>
      <c r="BH65" s="185">
        <f t="shared" si="43"/>
        <v>0.03</v>
      </c>
      <c r="BI65" s="173">
        <f t="shared" si="62"/>
        <v>-2.1987977841766898E-2</v>
      </c>
      <c r="BJ65" s="175">
        <f t="shared" si="44"/>
        <v>-95.169829190161934</v>
      </c>
      <c r="BK65" s="165">
        <f>BJ65*SUM('TABLE 4 - October 2016 Dataset'!F65:H65)</f>
        <v>-112395.56827358124</v>
      </c>
      <c r="BL65" s="94">
        <f t="shared" si="63"/>
        <v>5561652.6402321085</v>
      </c>
      <c r="BM65" s="103"/>
      <c r="BN65" s="179">
        <f t="shared" si="64"/>
        <v>5375033.2902321089</v>
      </c>
      <c r="BO65" s="175">
        <f>BN65/SUM('TABLE 4 - October 2016 Dataset'!F65:H65)</f>
        <v>4551.2559612464938</v>
      </c>
      <c r="BP65" s="175">
        <f t="shared" si="45"/>
        <v>48.744038753506175</v>
      </c>
      <c r="BQ65" s="175">
        <f>BP65*SUM('TABLE 4 - October 2016 Dataset'!F65:H65)</f>
        <v>57566.709767890788</v>
      </c>
      <c r="BR65" s="94">
        <f t="shared" si="46"/>
        <v>5619219.3499999996</v>
      </c>
      <c r="BS65" s="103"/>
      <c r="BT65" s="80">
        <f t="shared" si="47"/>
        <v>5408302.1560505908</v>
      </c>
      <c r="BU65" s="122">
        <f t="shared" si="48"/>
        <v>4579.4260423798396</v>
      </c>
      <c r="BV65" s="264">
        <f t="shared" si="49"/>
        <v>5619219.3499999996</v>
      </c>
      <c r="BW65" s="81">
        <f>BV65/SUM('TABLE 4 - October 2016 Dataset'!F65:H65)</f>
        <v>4758.0180779000848</v>
      </c>
      <c r="BX65" s="264">
        <f t="shared" si="50"/>
        <v>210917.19394940883</v>
      </c>
      <c r="BY65" s="81">
        <f t="shared" si="51"/>
        <v>178.59203552024519</v>
      </c>
      <c r="BZ65" s="269">
        <f t="shared" si="52"/>
        <v>3.8998781477740461E-2</v>
      </c>
      <c r="CA65" s="103"/>
      <c r="CB65" s="80">
        <f>'TABLE 5 - DfE Published Figures'!J64</f>
        <v>5619000</v>
      </c>
      <c r="CC65" s="84">
        <f t="shared" si="53"/>
        <v>0</v>
      </c>
      <c r="CD65" s="81"/>
      <c r="CE65" s="81"/>
      <c r="CF65" s="81"/>
      <c r="CG65" s="81"/>
      <c r="CH65" s="2"/>
    </row>
    <row r="66" spans="2:86" ht="15.75">
      <c r="B66" s="198">
        <v>4508</v>
      </c>
      <c r="C66" s="60" t="s">
        <v>8</v>
      </c>
      <c r="D66" s="204"/>
      <c r="F66" s="80">
        <v>1050</v>
      </c>
      <c r="G66" s="108">
        <v>10</v>
      </c>
      <c r="H66" s="163"/>
      <c r="I66" s="94">
        <f t="shared" si="33"/>
        <v>1060</v>
      </c>
      <c r="J66" s="103"/>
      <c r="K66" s="80">
        <v>5072331.3671292821</v>
      </c>
      <c r="L66" s="108">
        <v>44365.282630000002</v>
      </c>
      <c r="M66" s="163"/>
      <c r="N66" s="94">
        <f t="shared" si="34"/>
        <v>5116696.6497592824</v>
      </c>
      <c r="O66" s="103"/>
      <c r="P66" s="159"/>
      <c r="Q66" s="81">
        <f>Q$78*'TABLE 4 - October 2016 Dataset'!G66</f>
        <v>2576387.5500000003</v>
      </c>
      <c r="R66" s="122">
        <f>R$78*'TABLE 4 - October 2016 Dataset'!H66</f>
        <v>1723623.33</v>
      </c>
      <c r="S66" s="162">
        <f t="shared" si="35"/>
        <v>4300010.8800000008</v>
      </c>
      <c r="T66" s="165">
        <f>T$78*'TABLE 4 - October 2016 Dataset'!I66</f>
        <v>36079.999999999985</v>
      </c>
      <c r="U66" s="165">
        <f>U$78*'TABLE 4 - October 2016 Dataset'!J66</f>
        <v>165616.038647343</v>
      </c>
      <c r="V66" s="165">
        <f>V$78*'TABLE 4 - October 2016 Dataset'!K66</f>
        <v>0</v>
      </c>
      <c r="W66" s="165">
        <f>W$78*'TABLE 4 - October 2016 Dataset'!L66</f>
        <v>13865.402843601909</v>
      </c>
      <c r="X66" s="165">
        <f>X$78*'TABLE 4 - October 2016 Dataset'!M66</f>
        <v>1125.3080568720391</v>
      </c>
      <c r="Y66" s="165">
        <f>Y$78*'TABLE 4 - October 2016 Dataset'!N66</f>
        <v>38290.616113744065</v>
      </c>
      <c r="Z66" s="165">
        <f>Z$78*'TABLE 4 - October 2016 Dataset'!O66</f>
        <v>22335.355450236948</v>
      </c>
      <c r="AA66" s="165">
        <f>AA$78*'TABLE 4 - October 2016 Dataset'!P66</f>
        <v>23892.701421800943</v>
      </c>
      <c r="AB66" s="162">
        <f t="shared" si="36"/>
        <v>301205.4225335989</v>
      </c>
      <c r="AC66" s="140">
        <f>AC$78*'TABLE 4 - October 2016 Dataset'!Q66</f>
        <v>387833.41514534585</v>
      </c>
      <c r="AD66" s="140">
        <f>AD$78*'TABLE 4 - October 2016 Dataset'!R66</f>
        <v>8310.0000000000055</v>
      </c>
      <c r="AE66" s="140">
        <f>AE$78*'TABLE 4 - October 2016 Dataset'!S66</f>
        <v>0</v>
      </c>
      <c r="AF66" s="140">
        <f t="shared" si="37"/>
        <v>110000</v>
      </c>
      <c r="AG66" s="140">
        <f>IF('TABLE 4 - October 2016 Dataset'!X66="No",0,"*CHECK*")</f>
        <v>0</v>
      </c>
      <c r="AH66" s="140">
        <f>'TABLE 4 - October 2016 Dataset'!Y66</f>
        <v>259328.19</v>
      </c>
      <c r="AI66" s="170">
        <f>IF('TABLE 4 - October 2016 Dataset'!Z66&gt;0,('TABLE 4 - October 2016 Dataset'!Z66*(1+AI$79))-((AI$76*SUM('TABLE 4 - October 2016 Dataset'!F66:H66))+AI$77),0)</f>
        <v>0</v>
      </c>
      <c r="AJ66" s="166" t="str">
        <f>IF('TABLE 4 - October 2016 Dataset'!AA66="Yes",'TABLE 1 - 2018-19 Provisional'!AJ$78*SUM('TABLE 4 - October 2016 Dataset'!F66:H66),"")</f>
        <v/>
      </c>
      <c r="AK66" s="140">
        <f t="shared" si="38"/>
        <v>0</v>
      </c>
      <c r="AL66" s="94">
        <f t="shared" si="39"/>
        <v>5366687.9076789459</v>
      </c>
      <c r="AM66" s="103"/>
      <c r="AN66" s="80">
        <f t="shared" si="54"/>
        <v>5107359.7176789455</v>
      </c>
      <c r="AO66" s="165">
        <f>AN66/SUM('TABLE 4 - October 2016 Dataset'!F66:H66)</f>
        <v>4818.2638846027785</v>
      </c>
      <c r="AP66" s="165">
        <f t="shared" si="40"/>
        <v>0</v>
      </c>
      <c r="AQ66" s="165">
        <f>AP66*SUM('TABLE 4 - October 2016 Dataset'!F66:H66)</f>
        <v>0</v>
      </c>
      <c r="AR66" s="94">
        <f t="shared" si="55"/>
        <v>5366687.9076789459</v>
      </c>
      <c r="AS66" s="103"/>
      <c r="AT66" s="80">
        <f>N66-(AF66+AG66+'TABLE 4 - October 2016 Dataset'!Y66)</f>
        <v>4747368.4597592819</v>
      </c>
      <c r="AU66" s="187">
        <f t="shared" si="56"/>
        <v>4997359.7176789455</v>
      </c>
      <c r="AV66" s="165">
        <f t="shared" si="57"/>
        <v>4478.6494903389448</v>
      </c>
      <c r="AW66" s="165">
        <f>AU66/SUM('TABLE 4 - October 2016 Dataset'!F66:H66)</f>
        <v>4714.4902996971186</v>
      </c>
      <c r="AX66" s="173">
        <f t="shared" si="58"/>
        <v>5.2658911992759183E-2</v>
      </c>
      <c r="AY66" s="173">
        <f t="shared" si="41"/>
        <v>0</v>
      </c>
      <c r="AZ66" s="175">
        <f t="shared" si="59"/>
        <v>0</v>
      </c>
      <c r="BA66" s="165">
        <f>AZ66*SUM('TABLE 4 - October 2016 Dataset'!F66:H66)</f>
        <v>0</v>
      </c>
      <c r="BB66" s="94">
        <f t="shared" si="60"/>
        <v>5366687.9076789459</v>
      </c>
      <c r="BC66" s="103"/>
      <c r="BD66" s="184">
        <f>'TABLE 3 - Target Illustrative'!AR66-(AF66+AG66+AH66)</f>
        <v>4997359.7176789455</v>
      </c>
      <c r="BE66" s="165">
        <f>BD66/SUM('TABLE 4 - October 2016 Dataset'!F66:H66)</f>
        <v>4714.4902996971186</v>
      </c>
      <c r="BF66" s="173">
        <f t="shared" si="61"/>
        <v>5.2658911992759183E-2</v>
      </c>
      <c r="BG66" s="185">
        <f t="shared" si="42"/>
        <v>1.0531782398551837E-2</v>
      </c>
      <c r="BH66" s="185">
        <f t="shared" si="43"/>
        <v>0.03</v>
      </c>
      <c r="BI66" s="173">
        <f t="shared" si="62"/>
        <v>-2.2658911992759184E-2</v>
      </c>
      <c r="BJ66" s="175">
        <f t="shared" si="44"/>
        <v>-101.48132464800592</v>
      </c>
      <c r="BK66" s="165">
        <f>BJ66*SUM('TABLE 4 - October 2016 Dataset'!F66:H66)</f>
        <v>-107570.20412688628</v>
      </c>
      <c r="BL66" s="94">
        <f t="shared" si="63"/>
        <v>5259117.7035520598</v>
      </c>
      <c r="BM66" s="103"/>
      <c r="BN66" s="179">
        <f t="shared" si="64"/>
        <v>4999789.5135520594</v>
      </c>
      <c r="BO66" s="175">
        <f>BN66/SUM('TABLE 4 - October 2016 Dataset'!F66:H66)</f>
        <v>4716.7825599547732</v>
      </c>
      <c r="BP66" s="175">
        <f t="shared" si="45"/>
        <v>0</v>
      </c>
      <c r="BQ66" s="175">
        <f>BP66*SUM('TABLE 4 - October 2016 Dataset'!F66:H66)</f>
        <v>0</v>
      </c>
      <c r="BR66" s="94">
        <f t="shared" si="46"/>
        <v>5259117.7035520598</v>
      </c>
      <c r="BS66" s="103"/>
      <c r="BT66" s="80">
        <f t="shared" si="47"/>
        <v>5116696.6497592824</v>
      </c>
      <c r="BU66" s="122">
        <f t="shared" si="48"/>
        <v>4827.0723110936624</v>
      </c>
      <c r="BV66" s="264">
        <f t="shared" si="49"/>
        <v>5259117.7035520598</v>
      </c>
      <c r="BW66" s="81">
        <f>BV66/SUM('TABLE 4 - October 2016 Dataset'!F66:H66)</f>
        <v>4961.43179580383</v>
      </c>
      <c r="BX66" s="264">
        <f t="shared" si="50"/>
        <v>142421.05379277747</v>
      </c>
      <c r="BY66" s="81">
        <f t="shared" si="51"/>
        <v>134.35948471016764</v>
      </c>
      <c r="BZ66" s="269">
        <f t="shared" si="52"/>
        <v>2.783457053282179E-2</v>
      </c>
      <c r="CA66" s="103"/>
      <c r="CB66" s="80">
        <f>'TABLE 5 - DfE Published Figures'!J65</f>
        <v>5217000</v>
      </c>
      <c r="CC66" s="84">
        <f t="shared" si="53"/>
        <v>42000</v>
      </c>
      <c r="CD66" s="81"/>
      <c r="CE66" s="81"/>
      <c r="CF66" s="81"/>
      <c r="CG66" s="81"/>
      <c r="CH66" s="2"/>
    </row>
    <row r="67" spans="2:86" ht="15.75">
      <c r="B67" s="198">
        <v>4602</v>
      </c>
      <c r="C67" s="60" t="s">
        <v>39</v>
      </c>
      <c r="D67" s="204" t="s">
        <v>71</v>
      </c>
      <c r="F67" s="80">
        <v>1029</v>
      </c>
      <c r="G67" s="163"/>
      <c r="H67" s="163"/>
      <c r="I67" s="94">
        <f t="shared" si="33"/>
        <v>1029</v>
      </c>
      <c r="J67" s="103"/>
      <c r="K67" s="80">
        <v>4628341.3243124103</v>
      </c>
      <c r="L67" s="163"/>
      <c r="M67" s="163"/>
      <c r="N67" s="94">
        <f t="shared" si="34"/>
        <v>4628341.3243124103</v>
      </c>
      <c r="O67" s="103"/>
      <c r="P67" s="159"/>
      <c r="Q67" s="81">
        <f>Q$78*'TABLE 4 - October 2016 Dataset'!G67</f>
        <v>2557074.3000000003</v>
      </c>
      <c r="R67" s="122">
        <f>R$78*'TABLE 4 - October 2016 Dataset'!H67</f>
        <v>1609592.2700000003</v>
      </c>
      <c r="S67" s="162">
        <f t="shared" si="35"/>
        <v>4166666.5700000003</v>
      </c>
      <c r="T67" s="165">
        <f>T$78*'TABLE 4 - October 2016 Dataset'!I67</f>
        <v>20680</v>
      </c>
      <c r="U67" s="165">
        <f>U$78*'TABLE 4 - October 2016 Dataset'!J67</f>
        <v>93487.522842639592</v>
      </c>
      <c r="V67" s="165">
        <f>V$78*'TABLE 4 - October 2016 Dataset'!K67</f>
        <v>0</v>
      </c>
      <c r="W67" s="165">
        <f>W$78*'TABLE 4 - October 2016 Dataset'!L67</f>
        <v>1805.2631578947341</v>
      </c>
      <c r="X67" s="165">
        <f>X$78*'TABLE 4 - October 2016 Dataset'!M67</f>
        <v>31451.695906432724</v>
      </c>
      <c r="Y67" s="165">
        <f>Y$78*'TABLE 4 - October 2016 Dataset'!N67</f>
        <v>4132.0467836257294</v>
      </c>
      <c r="Z67" s="165">
        <f>Z$78*'TABLE 4 - October 2016 Dataset'!O67</f>
        <v>1173.4210526315771</v>
      </c>
      <c r="AA67" s="165">
        <f>AA$78*'TABLE 4 - October 2016 Dataset'!P67</f>
        <v>9016.2865497076164</v>
      </c>
      <c r="AB67" s="162">
        <f t="shared" si="36"/>
        <v>161746.23629293198</v>
      </c>
      <c r="AC67" s="140">
        <f>AC$78*'TABLE 4 - October 2016 Dataset'!Q67</f>
        <v>311529.46944680327</v>
      </c>
      <c r="AD67" s="140">
        <f>AD$78*'TABLE 4 - October 2016 Dataset'!R67</f>
        <v>2769.9999999999982</v>
      </c>
      <c r="AE67" s="140">
        <f>AE$78*'TABLE 4 - October 2016 Dataset'!S67</f>
        <v>0</v>
      </c>
      <c r="AF67" s="140">
        <f t="shared" si="37"/>
        <v>110000</v>
      </c>
      <c r="AG67" s="140">
        <f>IF('TABLE 4 - October 2016 Dataset'!X67="No",0,"*CHECK*")</f>
        <v>0</v>
      </c>
      <c r="AH67" s="140">
        <f>'TABLE 4 - October 2016 Dataset'!Y67</f>
        <v>59136.52</v>
      </c>
      <c r="AI67" s="170">
        <f>IF('TABLE 4 - October 2016 Dataset'!Z67&gt;0,('TABLE 4 - October 2016 Dataset'!Z67*(1+AI$79))-((AI$76*SUM('TABLE 4 - October 2016 Dataset'!F67:H67))+AI$77),0)</f>
        <v>0</v>
      </c>
      <c r="AJ67" s="166" t="str">
        <f>IF('TABLE 4 - October 2016 Dataset'!AA67="Yes",'TABLE 1 - 2018-19 Provisional'!AJ$78*SUM('TABLE 4 - October 2016 Dataset'!F67:H67),"")</f>
        <v/>
      </c>
      <c r="AK67" s="140">
        <f t="shared" si="38"/>
        <v>0</v>
      </c>
      <c r="AL67" s="94">
        <f t="shared" si="39"/>
        <v>4811848.7957397355</v>
      </c>
      <c r="AM67" s="103"/>
      <c r="AN67" s="80">
        <f t="shared" si="54"/>
        <v>4752712.2757397359</v>
      </c>
      <c r="AO67" s="165">
        <f>AN67/SUM('TABLE 4 - October 2016 Dataset'!F67:H67)</f>
        <v>4618.7680036343399</v>
      </c>
      <c r="AP67" s="165">
        <f t="shared" si="40"/>
        <v>0</v>
      </c>
      <c r="AQ67" s="165">
        <f>AP67*SUM('TABLE 4 - October 2016 Dataset'!F67:H67)</f>
        <v>0</v>
      </c>
      <c r="AR67" s="94">
        <f t="shared" si="55"/>
        <v>4811848.7957397355</v>
      </c>
      <c r="AS67" s="103"/>
      <c r="AT67" s="80">
        <f>N67-(AF67+AG67+'TABLE 4 - October 2016 Dataset'!Y67)</f>
        <v>4459204.8043124108</v>
      </c>
      <c r="AU67" s="187">
        <f t="shared" si="56"/>
        <v>4642712.2757397359</v>
      </c>
      <c r="AV67" s="165">
        <f t="shared" si="57"/>
        <v>4333.5323657069102</v>
      </c>
      <c r="AW67" s="165">
        <f>AU67/SUM('TABLE 4 - October 2016 Dataset'!F67:H67)</f>
        <v>4511.8681008160702</v>
      </c>
      <c r="AX67" s="173">
        <f t="shared" si="58"/>
        <v>4.1152510252469021E-2</v>
      </c>
      <c r="AY67" s="173">
        <f t="shared" si="41"/>
        <v>0</v>
      </c>
      <c r="AZ67" s="175">
        <f t="shared" si="59"/>
        <v>0</v>
      </c>
      <c r="BA67" s="165">
        <f>AZ67*SUM('TABLE 4 - October 2016 Dataset'!F67:H67)</f>
        <v>0</v>
      </c>
      <c r="BB67" s="94">
        <f t="shared" si="60"/>
        <v>4811848.7957397355</v>
      </c>
      <c r="BC67" s="103"/>
      <c r="BD67" s="184">
        <f>'TABLE 3 - Target Illustrative'!AR67-(AF67+AG67+AH67)</f>
        <v>4829200</v>
      </c>
      <c r="BE67" s="165">
        <f>BD67/SUM('TABLE 4 - October 2016 Dataset'!F67:H67)</f>
        <v>4693.1000971817302</v>
      </c>
      <c r="BF67" s="173">
        <f t="shared" si="61"/>
        <v>8.2973357790109725E-2</v>
      </c>
      <c r="BG67" s="185">
        <f t="shared" si="42"/>
        <v>1.6594671558021946E-2</v>
      </c>
      <c r="BH67" s="185">
        <f t="shared" si="43"/>
        <v>0.03</v>
      </c>
      <c r="BI67" s="173">
        <f t="shared" si="62"/>
        <v>-1.1152510252469022E-2</v>
      </c>
      <c r="BJ67" s="175">
        <f t="shared" si="44"/>
        <v>-48.329764137952651</v>
      </c>
      <c r="BK67" s="165">
        <f>BJ67*SUM('TABLE 4 - October 2016 Dataset'!F67:H67)</f>
        <v>-49731.327297953278</v>
      </c>
      <c r="BL67" s="94">
        <f t="shared" si="63"/>
        <v>4762117.4684417825</v>
      </c>
      <c r="BM67" s="103"/>
      <c r="BN67" s="179">
        <f t="shared" si="64"/>
        <v>4702980.948441783</v>
      </c>
      <c r="BO67" s="175">
        <f>BN67/SUM('TABLE 4 - October 2016 Dataset'!F67:H67)</f>
        <v>4570.4382394963877</v>
      </c>
      <c r="BP67" s="175">
        <f t="shared" si="45"/>
        <v>29.561760503612277</v>
      </c>
      <c r="BQ67" s="175">
        <f>BP67*SUM('TABLE 4 - October 2016 Dataset'!F67:H67)</f>
        <v>30419.051558217034</v>
      </c>
      <c r="BR67" s="94">
        <f t="shared" si="46"/>
        <v>4792536.5199999996</v>
      </c>
      <c r="BS67" s="103"/>
      <c r="BT67" s="80">
        <f t="shared" si="47"/>
        <v>4628341.3243124103</v>
      </c>
      <c r="BU67" s="122">
        <f t="shared" si="48"/>
        <v>4497.9021616252776</v>
      </c>
      <c r="BV67" s="264">
        <f t="shared" si="49"/>
        <v>4792536.5199999996</v>
      </c>
      <c r="BW67" s="81">
        <f>BV67/SUM('TABLE 4 - October 2016 Dataset'!F67:H67)</f>
        <v>4657.4698931000967</v>
      </c>
      <c r="BX67" s="264">
        <f t="shared" si="50"/>
        <v>164195.19568758924</v>
      </c>
      <c r="BY67" s="81">
        <f t="shared" si="51"/>
        <v>159.56773147481908</v>
      </c>
      <c r="BZ67" s="269">
        <f t="shared" si="52"/>
        <v>3.5476034324668518E-2</v>
      </c>
      <c r="CA67" s="103"/>
      <c r="CB67" s="80">
        <f>'TABLE 5 - DfE Published Figures'!J66</f>
        <v>4733000</v>
      </c>
      <c r="CC67" s="84">
        <f t="shared" si="53"/>
        <v>60000</v>
      </c>
      <c r="CD67" s="81"/>
      <c r="CE67" s="81"/>
      <c r="CF67" s="81"/>
      <c r="CG67" s="81"/>
      <c r="CH67" s="2"/>
    </row>
    <row r="68" spans="2:86" ht="15.75">
      <c r="B68" s="198">
        <v>4229</v>
      </c>
      <c r="C68" s="60" t="s">
        <v>40</v>
      </c>
      <c r="D68" s="204" t="s">
        <v>73</v>
      </c>
      <c r="F68" s="80">
        <v>998</v>
      </c>
      <c r="G68" s="163"/>
      <c r="H68" s="163"/>
      <c r="I68" s="94">
        <f t="shared" si="33"/>
        <v>998</v>
      </c>
      <c r="J68" s="103"/>
      <c r="K68" s="80">
        <v>4554384.9466296714</v>
      </c>
      <c r="L68" s="163"/>
      <c r="M68" s="163"/>
      <c r="N68" s="94">
        <f t="shared" si="34"/>
        <v>4554384.9466296714</v>
      </c>
      <c r="O68" s="103"/>
      <c r="P68" s="159"/>
      <c r="Q68" s="81">
        <f>Q$78*'TABLE 4 - October 2016 Dataset'!G68</f>
        <v>2390980.35</v>
      </c>
      <c r="R68" s="122">
        <f>R$78*'TABLE 4 - October 2016 Dataset'!H68</f>
        <v>1662221.9900000002</v>
      </c>
      <c r="S68" s="162">
        <f t="shared" si="35"/>
        <v>4053202.3400000003</v>
      </c>
      <c r="T68" s="165">
        <f>T$78*'TABLE 4 - October 2016 Dataset'!I68</f>
        <v>30799.999999999982</v>
      </c>
      <c r="U68" s="165">
        <f>U$78*'TABLE 4 - October 2016 Dataset'!J68</f>
        <v>140045.3207150368</v>
      </c>
      <c r="V68" s="165">
        <f>V$78*'TABLE 4 - October 2016 Dataset'!K68</f>
        <v>0</v>
      </c>
      <c r="W68" s="165">
        <f>W$78*'TABLE 4 - October 2016 Dataset'!L68</f>
        <v>4800.0000000000018</v>
      </c>
      <c r="X68" s="165">
        <f>X$78*'TABLE 4 - October 2016 Dataset'!M68</f>
        <v>30800.000000000018</v>
      </c>
      <c r="Y68" s="165">
        <f>Y$78*'TABLE 4 - October 2016 Dataset'!N68</f>
        <v>18024.999999999989</v>
      </c>
      <c r="Z68" s="165">
        <f>Z$78*'TABLE 4 - October 2016 Dataset'!O68</f>
        <v>13260.000000000005</v>
      </c>
      <c r="AA68" s="165">
        <f>AA$78*'TABLE 4 - October 2016 Dataset'!P68</f>
        <v>26679.999999999989</v>
      </c>
      <c r="AB68" s="162">
        <f t="shared" si="36"/>
        <v>264410.32071503677</v>
      </c>
      <c r="AC68" s="140">
        <f>AC$78*'TABLE 4 - October 2016 Dataset'!Q68</f>
        <v>309291.20479997253</v>
      </c>
      <c r="AD68" s="140">
        <f>AD$78*'TABLE 4 - October 2016 Dataset'!R68</f>
        <v>23615.989949748753</v>
      </c>
      <c r="AE68" s="140">
        <f>AE$78*'TABLE 4 - October 2016 Dataset'!S68</f>
        <v>0</v>
      </c>
      <c r="AF68" s="140">
        <f t="shared" si="37"/>
        <v>110000</v>
      </c>
      <c r="AG68" s="140">
        <f>IF('TABLE 4 - October 2016 Dataset'!X68="No",0,"*CHECK*")</f>
        <v>0</v>
      </c>
      <c r="AH68" s="140">
        <f>'TABLE 4 - October 2016 Dataset'!Y68</f>
        <v>16992</v>
      </c>
      <c r="AI68" s="170">
        <f>IF('TABLE 4 - October 2016 Dataset'!Z68&gt;0,('TABLE 4 - October 2016 Dataset'!Z68*(1+AI$79))-((AI$76*SUM('TABLE 4 - October 2016 Dataset'!F68:H68))+AI$77),0)</f>
        <v>0</v>
      </c>
      <c r="AJ68" s="166" t="str">
        <f>IF('TABLE 4 - October 2016 Dataset'!AA68="Yes",'TABLE 1 - 2018-19 Provisional'!AJ$78*SUM('TABLE 4 - October 2016 Dataset'!F68:H68),"")</f>
        <v/>
      </c>
      <c r="AK68" s="140">
        <f t="shared" si="38"/>
        <v>0</v>
      </c>
      <c r="AL68" s="94">
        <f t="shared" si="39"/>
        <v>4777511.8554647584</v>
      </c>
      <c r="AM68" s="103"/>
      <c r="AN68" s="80">
        <f t="shared" si="54"/>
        <v>4760519.8554647584</v>
      </c>
      <c r="AO68" s="165">
        <f>AN68/SUM('TABLE 4 - October 2016 Dataset'!F68:H68)</f>
        <v>4770.0599754155892</v>
      </c>
      <c r="AP68" s="165">
        <f t="shared" si="40"/>
        <v>0</v>
      </c>
      <c r="AQ68" s="165">
        <f>AP68*SUM('TABLE 4 - October 2016 Dataset'!F68:H68)</f>
        <v>0</v>
      </c>
      <c r="AR68" s="94">
        <f t="shared" si="55"/>
        <v>4777511.8554647584</v>
      </c>
      <c r="AS68" s="103"/>
      <c r="AT68" s="80">
        <f>N68-(AF68+AG68+'TABLE 4 - October 2016 Dataset'!Y68)</f>
        <v>4427392.9466296714</v>
      </c>
      <c r="AU68" s="187">
        <f t="shared" si="56"/>
        <v>4650519.8554647584</v>
      </c>
      <c r="AV68" s="165">
        <f t="shared" si="57"/>
        <v>4436.2654775848414</v>
      </c>
      <c r="AW68" s="165">
        <f>AU68/SUM('TABLE 4 - October 2016 Dataset'!F68:H68)</f>
        <v>4659.8395345338258</v>
      </c>
      <c r="AX68" s="173">
        <f t="shared" si="58"/>
        <v>5.0396906605035152E-2</v>
      </c>
      <c r="AY68" s="173">
        <f t="shared" si="41"/>
        <v>0</v>
      </c>
      <c r="AZ68" s="175">
        <f t="shared" si="59"/>
        <v>0</v>
      </c>
      <c r="BA68" s="165">
        <f>AZ68*SUM('TABLE 4 - October 2016 Dataset'!F68:H68)</f>
        <v>0</v>
      </c>
      <c r="BB68" s="94">
        <f t="shared" si="60"/>
        <v>4777511.8554647584</v>
      </c>
      <c r="BC68" s="103"/>
      <c r="BD68" s="184">
        <f>'TABLE 3 - Target Illustrative'!AR68-(AF68+AG68+AH68)</f>
        <v>4680400</v>
      </c>
      <c r="BE68" s="165">
        <f>BD68/SUM('TABLE 4 - October 2016 Dataset'!F68:H68)</f>
        <v>4689.7795591182366</v>
      </c>
      <c r="BF68" s="173">
        <f t="shared" si="61"/>
        <v>5.7145831964819926E-2</v>
      </c>
      <c r="BG68" s="185">
        <f t="shared" si="42"/>
        <v>1.1429166392963985E-2</v>
      </c>
      <c r="BH68" s="185">
        <f t="shared" si="43"/>
        <v>0.03</v>
      </c>
      <c r="BI68" s="173">
        <f t="shared" si="62"/>
        <v>-2.0396906605035153E-2</v>
      </c>
      <c r="BJ68" s="175">
        <f t="shared" si="44"/>
        <v>-90.486092621439681</v>
      </c>
      <c r="BK68" s="165">
        <f>BJ68*SUM('TABLE 4 - October 2016 Dataset'!F68:H68)</f>
        <v>-90305.120436196798</v>
      </c>
      <c r="BL68" s="94">
        <f t="shared" si="63"/>
        <v>4687206.7350285612</v>
      </c>
      <c r="BM68" s="103"/>
      <c r="BN68" s="179">
        <f t="shared" si="64"/>
        <v>4670214.7350285612</v>
      </c>
      <c r="BO68" s="175">
        <f>BN68/SUM('TABLE 4 - October 2016 Dataset'!F68:H68)</f>
        <v>4679.5738827941495</v>
      </c>
      <c r="BP68" s="175">
        <f t="shared" si="45"/>
        <v>0</v>
      </c>
      <c r="BQ68" s="175">
        <f>BP68*SUM('TABLE 4 - October 2016 Dataset'!F68:H68)</f>
        <v>0</v>
      </c>
      <c r="BR68" s="94">
        <f t="shared" si="46"/>
        <v>4687206.7350285612</v>
      </c>
      <c r="BS68" s="103"/>
      <c r="BT68" s="80">
        <f t="shared" si="47"/>
        <v>4554384.9466296714</v>
      </c>
      <c r="BU68" s="122">
        <f t="shared" si="48"/>
        <v>4563.511970570813</v>
      </c>
      <c r="BV68" s="264">
        <f t="shared" si="49"/>
        <v>4687206.7350285612</v>
      </c>
      <c r="BW68" s="81">
        <f>BV68/SUM('TABLE 4 - October 2016 Dataset'!F68:H68)</f>
        <v>4696.5999348983578</v>
      </c>
      <c r="BX68" s="264">
        <f t="shared" si="50"/>
        <v>132821.78839888982</v>
      </c>
      <c r="BY68" s="81">
        <f t="shared" si="51"/>
        <v>133.0879643275448</v>
      </c>
      <c r="BZ68" s="269">
        <f t="shared" si="52"/>
        <v>2.9163496269058301E-2</v>
      </c>
      <c r="CA68" s="103"/>
      <c r="CB68" s="80">
        <f>'TABLE 5 - DfE Published Figures'!J67</f>
        <v>4670000</v>
      </c>
      <c r="CC68" s="84">
        <f t="shared" si="53"/>
        <v>17000</v>
      </c>
      <c r="CD68" s="81"/>
      <c r="CE68" s="81"/>
      <c r="CF68" s="81"/>
      <c r="CG68" s="81"/>
      <c r="CH68" s="2"/>
    </row>
    <row r="69" spans="2:86" ht="15.75">
      <c r="B69" s="198">
        <v>4003</v>
      </c>
      <c r="C69" s="60" t="s">
        <v>150</v>
      </c>
      <c r="D69" s="204" t="s">
        <v>71</v>
      </c>
      <c r="F69" s="80">
        <v>522</v>
      </c>
      <c r="G69" s="163"/>
      <c r="H69" s="163"/>
      <c r="I69" s="94">
        <f>SUM(F69:H69)</f>
        <v>522</v>
      </c>
      <c r="J69" s="103"/>
      <c r="K69" s="80">
        <v>2708707.8136682264</v>
      </c>
      <c r="L69" s="163"/>
      <c r="M69" s="163"/>
      <c r="N69" s="94">
        <f>SUM(K69:M69)</f>
        <v>2708707.8136682264</v>
      </c>
      <c r="O69" s="103"/>
      <c r="P69" s="159"/>
      <c r="Q69" s="81">
        <f>Q$78*'TABLE 4 - October 2016 Dataset'!G69</f>
        <v>1255361.25</v>
      </c>
      <c r="R69" s="122">
        <f>R$78*'TABLE 4 - October 2016 Dataset'!H69</f>
        <v>864004.57000000007</v>
      </c>
      <c r="S69" s="162">
        <f t="shared" si="35"/>
        <v>2119365.8200000003</v>
      </c>
      <c r="T69" s="165">
        <f>T$78*'TABLE 4 - October 2016 Dataset'!I69</f>
        <v>38280.000000000073</v>
      </c>
      <c r="U69" s="165">
        <f>U$78*'TABLE 4 - October 2016 Dataset'!J69</f>
        <v>118342.22003929275</v>
      </c>
      <c r="V69" s="165">
        <f>V$78*'TABLE 4 - October 2016 Dataset'!K69</f>
        <v>0</v>
      </c>
      <c r="W69" s="165">
        <f>W$78*'TABLE 4 - October 2016 Dataset'!L69</f>
        <v>42681.765834932987</v>
      </c>
      <c r="X69" s="165">
        <f>X$78*'TABLE 4 - October 2016 Dataset'!M69</f>
        <v>1683.2245681381967</v>
      </c>
      <c r="Y69" s="165">
        <f>Y$78*'TABLE 4 - October 2016 Dataset'!N69</f>
        <v>26831.401151631479</v>
      </c>
      <c r="Z69" s="165">
        <f>Z$78*'TABLE 4 - October 2016 Dataset'!O69</f>
        <v>781.49712092130505</v>
      </c>
      <c r="AA69" s="165">
        <f>AA$78*'TABLE 4 - October 2016 Dataset'!P69</f>
        <v>14818.387715930903</v>
      </c>
      <c r="AB69" s="162">
        <f t="shared" si="36"/>
        <v>243418.49643084768</v>
      </c>
      <c r="AC69" s="140">
        <f>AC$78*'TABLE 4 - October 2016 Dataset'!Q69</f>
        <v>196901.67866971547</v>
      </c>
      <c r="AD69" s="140">
        <f>AD$78*'TABLE 4 - October 2016 Dataset'!R69</f>
        <v>20814.875239923236</v>
      </c>
      <c r="AE69" s="140">
        <f>AE$78*'TABLE 4 - October 2016 Dataset'!S69</f>
        <v>0</v>
      </c>
      <c r="AF69" s="140">
        <f t="shared" si="37"/>
        <v>110000</v>
      </c>
      <c r="AG69" s="140">
        <f>IF('TABLE 4 - October 2016 Dataset'!X69="No",0,"*CHECK*")</f>
        <v>0</v>
      </c>
      <c r="AH69" s="140">
        <f>'TABLE 4 - October 2016 Dataset'!Y69</f>
        <v>97429.84</v>
      </c>
      <c r="AI69" s="170">
        <f>IF('TABLE 4 - October 2016 Dataset'!Z69&gt;0,('TABLE 4 - October 2016 Dataset'!Z69*(1+AI$79))-((AI$76*SUM('TABLE 4 - October 2016 Dataset'!F69:H69))+AI$77),0)</f>
        <v>0</v>
      </c>
      <c r="AJ69" s="166" t="str">
        <f>IF('TABLE 4 - October 2016 Dataset'!AA69="Yes",'TABLE 1 - 2018-19 Provisional'!AJ$78*SUM('TABLE 4 - October 2016 Dataset'!F69:H69),"")</f>
        <v/>
      </c>
      <c r="AK69" s="140">
        <f t="shared" si="38"/>
        <v>0</v>
      </c>
      <c r="AL69" s="94">
        <f t="shared" si="39"/>
        <v>2787930.7103404864</v>
      </c>
      <c r="AM69" s="103"/>
      <c r="AN69" s="80">
        <f t="shared" si="54"/>
        <v>2690500.8703404865</v>
      </c>
      <c r="AO69" s="165">
        <f>AN69/SUM('TABLE 4 - October 2016 Dataset'!F69:H69)</f>
        <v>5154.216226705913</v>
      </c>
      <c r="AP69" s="165">
        <f t="shared" si="40"/>
        <v>0</v>
      </c>
      <c r="AQ69" s="165">
        <f>AP69*SUM('TABLE 4 - October 2016 Dataset'!F69:H69)</f>
        <v>0</v>
      </c>
      <c r="AR69" s="94">
        <f t="shared" si="55"/>
        <v>2787930.7103404864</v>
      </c>
      <c r="AS69" s="103"/>
      <c r="AT69" s="80">
        <f>N69-(AF69+AG69+'TABLE 4 - October 2016 Dataset'!Y69)</f>
        <v>2501277.9736682265</v>
      </c>
      <c r="AU69" s="187">
        <f t="shared" si="56"/>
        <v>2580500.8703404865</v>
      </c>
      <c r="AV69" s="165">
        <f t="shared" si="57"/>
        <v>4791.7202560693995</v>
      </c>
      <c r="AW69" s="165">
        <f>AU69/SUM('TABLE 4 - October 2016 Dataset'!F69:H69)</f>
        <v>4943.488257357254</v>
      </c>
      <c r="AX69" s="173">
        <f t="shared" si="58"/>
        <v>3.1672967781376293E-2</v>
      </c>
      <c r="AY69" s="173">
        <f t="shared" si="41"/>
        <v>0</v>
      </c>
      <c r="AZ69" s="175">
        <f t="shared" si="59"/>
        <v>0</v>
      </c>
      <c r="BA69" s="165">
        <f>AZ69*SUM('TABLE 4 - October 2016 Dataset'!F69:H69)</f>
        <v>0</v>
      </c>
      <c r="BB69" s="94">
        <f t="shared" si="60"/>
        <v>2787930.7103404864</v>
      </c>
      <c r="BC69" s="103"/>
      <c r="BD69" s="184">
        <f>'TABLE 3 - Target Illustrative'!AR69-(AF69+AG69+AH69)</f>
        <v>2580500.8703404865</v>
      </c>
      <c r="BE69" s="165">
        <f>BD69/SUM('TABLE 4 - October 2016 Dataset'!F69:H69)</f>
        <v>4943.488257357254</v>
      </c>
      <c r="BF69" s="173">
        <f t="shared" si="61"/>
        <v>3.1672967781376293E-2</v>
      </c>
      <c r="BG69" s="185">
        <f t="shared" si="42"/>
        <v>6.3345935562752588E-3</v>
      </c>
      <c r="BH69" s="185">
        <f t="shared" si="43"/>
        <v>0.03</v>
      </c>
      <c r="BI69" s="173">
        <f t="shared" si="62"/>
        <v>-1.6729677813762944E-3</v>
      </c>
      <c r="BJ69" s="175">
        <f t="shared" si="44"/>
        <v>-8.0163936057722722</v>
      </c>
      <c r="BK69" s="165">
        <f>BJ69*SUM('TABLE 4 - October 2016 Dataset'!F69:H69)</f>
        <v>-4184.5574622131262</v>
      </c>
      <c r="BL69" s="94">
        <f t="shared" si="63"/>
        <v>2783746.1528782733</v>
      </c>
      <c r="BM69" s="103"/>
      <c r="BN69" s="179">
        <f t="shared" si="64"/>
        <v>2686316.3128782734</v>
      </c>
      <c r="BO69" s="175">
        <f>BN69/SUM('TABLE 4 - October 2016 Dataset'!F69:H69)</f>
        <v>5146.1998331001405</v>
      </c>
      <c r="BP69" s="175">
        <f t="shared" si="45"/>
        <v>0</v>
      </c>
      <c r="BQ69" s="175">
        <f>BP69*SUM('TABLE 4 - October 2016 Dataset'!F69:H69)</f>
        <v>0</v>
      </c>
      <c r="BR69" s="94">
        <f t="shared" si="46"/>
        <v>2783746.1528782733</v>
      </c>
      <c r="BS69" s="103"/>
      <c r="BT69" s="80">
        <f t="shared" si="47"/>
        <v>2708707.8136682264</v>
      </c>
      <c r="BU69" s="122">
        <f t="shared" si="48"/>
        <v>5189.0954284831923</v>
      </c>
      <c r="BV69" s="264">
        <f t="shared" si="49"/>
        <v>2783746.1528782733</v>
      </c>
      <c r="BW69" s="81">
        <f>BV69/SUM('TABLE 4 - October 2016 Dataset'!F69:H69)</f>
        <v>5332.8470361652744</v>
      </c>
      <c r="BX69" s="264">
        <f t="shared" si="50"/>
        <v>75038.339210046921</v>
      </c>
      <c r="BY69" s="81">
        <f t="shared" si="51"/>
        <v>143.75160768208207</v>
      </c>
      <c r="BZ69" s="269">
        <f t="shared" si="52"/>
        <v>2.7702633274582431E-2</v>
      </c>
      <c r="CA69" s="103"/>
      <c r="CB69" s="80">
        <f>'TABLE 5 - DfE Published Figures'!J68</f>
        <v>2763000</v>
      </c>
      <c r="CC69" s="84">
        <f t="shared" si="53"/>
        <v>21000</v>
      </c>
      <c r="CD69" s="81"/>
      <c r="CE69" s="81"/>
      <c r="CF69" s="81"/>
      <c r="CG69" s="81"/>
      <c r="CH69" s="2"/>
    </row>
    <row r="70" spans="2:86" ht="15.75">
      <c r="B70" s="198">
        <v>4703</v>
      </c>
      <c r="C70" s="60" t="s">
        <v>64</v>
      </c>
      <c r="D70" s="204"/>
      <c r="F70" s="80">
        <v>740</v>
      </c>
      <c r="G70" s="163"/>
      <c r="H70" s="163"/>
      <c r="I70" s="94">
        <f t="shared" si="33"/>
        <v>740</v>
      </c>
      <c r="J70" s="103"/>
      <c r="K70" s="80">
        <v>3840837.7017663675</v>
      </c>
      <c r="L70" s="163"/>
      <c r="M70" s="163"/>
      <c r="N70" s="94">
        <f>SUM(K70:M70)</f>
        <v>3840837.7017663675</v>
      </c>
      <c r="O70" s="103"/>
      <c r="P70" s="159"/>
      <c r="Q70" s="81">
        <f>Q$78*'TABLE 4 - October 2016 Dataset'!G70</f>
        <v>1699566</v>
      </c>
      <c r="R70" s="122">
        <f>R$78*'TABLE 4 - October 2016 Dataset'!H70</f>
        <v>1315743.0000000002</v>
      </c>
      <c r="S70" s="162">
        <f t="shared" si="35"/>
        <v>3015309</v>
      </c>
      <c r="T70" s="165">
        <f>T$78*'TABLE 4 - October 2016 Dataset'!I70</f>
        <v>37400.000000000044</v>
      </c>
      <c r="U70" s="165">
        <f>U$78*'TABLE 4 - October 2016 Dataset'!J70</f>
        <v>200283.88375165127</v>
      </c>
      <c r="V70" s="165">
        <f>V$78*'TABLE 4 - October 2016 Dataset'!K70</f>
        <v>0</v>
      </c>
      <c r="W70" s="165">
        <f>W$78*'TABLE 4 - October 2016 Dataset'!L70</f>
        <v>0</v>
      </c>
      <c r="X70" s="165">
        <f>X$78*'TABLE 4 - October 2016 Dataset'!M70</f>
        <v>54954.262516914634</v>
      </c>
      <c r="Y70" s="165">
        <f>Y$78*'TABLE 4 - October 2016 Dataset'!N70</f>
        <v>55179.566982408709</v>
      </c>
      <c r="Z70" s="165">
        <f>Z$78*'TABLE 4 - October 2016 Dataset'!O70</f>
        <v>0</v>
      </c>
      <c r="AA70" s="165">
        <f>AA$78*'TABLE 4 - October 2016 Dataset'!P70</f>
        <v>38622.192151556097</v>
      </c>
      <c r="AB70" s="162">
        <f t="shared" si="36"/>
        <v>386439.90540253074</v>
      </c>
      <c r="AC70" s="140">
        <f>AC$78*'TABLE 4 - October 2016 Dataset'!Q70</f>
        <v>356458.80627830955</v>
      </c>
      <c r="AD70" s="140">
        <f>AD$78*'TABLE 4 - October 2016 Dataset'!R70</f>
        <v>16619.999999999982</v>
      </c>
      <c r="AE70" s="140">
        <f>AE$78*'TABLE 4 - October 2016 Dataset'!S70</f>
        <v>0</v>
      </c>
      <c r="AF70" s="140">
        <f t="shared" si="37"/>
        <v>110000</v>
      </c>
      <c r="AG70" s="140">
        <f>IF('TABLE 4 - October 2016 Dataset'!X70="No",0,"*CHECK*")</f>
        <v>0</v>
      </c>
      <c r="AH70" s="140">
        <f>'TABLE 4 - October 2016 Dataset'!Y70</f>
        <v>159959.44</v>
      </c>
      <c r="AI70" s="170">
        <f>IF('TABLE 4 - October 2016 Dataset'!Z70&gt;0,('TABLE 4 - October 2016 Dataset'!Z70*(1+AI$79))-((AI$76*SUM('TABLE 4 - October 2016 Dataset'!F70:H70))+AI$77),0)</f>
        <v>0</v>
      </c>
      <c r="AJ70" s="166" t="str">
        <f>IF('TABLE 4 - October 2016 Dataset'!AA70="Yes",'TABLE 1 - 2018-19 Provisional'!AJ$78*SUM('TABLE 4 - October 2016 Dataset'!F70:H70),"")</f>
        <v/>
      </c>
      <c r="AK70" s="140">
        <f t="shared" si="38"/>
        <v>0</v>
      </c>
      <c r="AL70" s="94">
        <f t="shared" si="39"/>
        <v>4044787.1516808406</v>
      </c>
      <c r="AM70" s="103"/>
      <c r="AN70" s="80">
        <f t="shared" si="54"/>
        <v>3884827.7116808407</v>
      </c>
      <c r="AO70" s="165">
        <f>AN70/SUM('TABLE 4 - October 2016 Dataset'!F70:H70)</f>
        <v>5249.767177947082</v>
      </c>
      <c r="AP70" s="165">
        <f t="shared" si="40"/>
        <v>0</v>
      </c>
      <c r="AQ70" s="165">
        <f>AP70*SUM('TABLE 4 - October 2016 Dataset'!F70:H70)</f>
        <v>0</v>
      </c>
      <c r="AR70" s="94">
        <f t="shared" si="55"/>
        <v>4044787.1516808406</v>
      </c>
      <c r="AS70" s="103"/>
      <c r="AT70" s="80">
        <f>N70-(AF70+AG70+'TABLE 4 - October 2016 Dataset'!Y70)</f>
        <v>3570878.2617663676</v>
      </c>
      <c r="AU70" s="187">
        <f t="shared" si="56"/>
        <v>3774827.7116808407</v>
      </c>
      <c r="AV70" s="165">
        <f t="shared" si="57"/>
        <v>4825.5111645491452</v>
      </c>
      <c r="AW70" s="165">
        <f>AU70/SUM('TABLE 4 - October 2016 Dataset'!F70:H70)</f>
        <v>5101.1185292984337</v>
      </c>
      <c r="AX70" s="173">
        <f t="shared" si="58"/>
        <v>5.7114646583775741E-2</v>
      </c>
      <c r="AY70" s="173">
        <f t="shared" si="41"/>
        <v>0</v>
      </c>
      <c r="AZ70" s="175">
        <f t="shared" si="59"/>
        <v>0</v>
      </c>
      <c r="BA70" s="165">
        <f>AZ70*SUM('TABLE 4 - October 2016 Dataset'!F70:H70)</f>
        <v>0</v>
      </c>
      <c r="BB70" s="94">
        <f t="shared" si="60"/>
        <v>4044787.1516808406</v>
      </c>
      <c r="BC70" s="103"/>
      <c r="BD70" s="184">
        <f>'TABLE 3 - Target Illustrative'!AR70-(AF70+AG70+AH70)</f>
        <v>3774827.7116808407</v>
      </c>
      <c r="BE70" s="165">
        <f>BD70/SUM('TABLE 4 - October 2016 Dataset'!F70:H70)</f>
        <v>5101.1185292984337</v>
      </c>
      <c r="BF70" s="173">
        <f t="shared" si="61"/>
        <v>5.7114646583775741E-2</v>
      </c>
      <c r="BG70" s="185">
        <f t="shared" si="42"/>
        <v>1.1422929316755148E-2</v>
      </c>
      <c r="BH70" s="185">
        <f t="shared" si="43"/>
        <v>0.03</v>
      </c>
      <c r="BI70" s="173">
        <f t="shared" si="62"/>
        <v>-2.7114646583775742E-2</v>
      </c>
      <c r="BJ70" s="175">
        <f t="shared" si="44"/>
        <v>-130.84202981281419</v>
      </c>
      <c r="BK70" s="165">
        <f>BJ70*SUM('TABLE 4 - October 2016 Dataset'!F70:H70)</f>
        <v>-96823.102061482496</v>
      </c>
      <c r="BL70" s="94">
        <f t="shared" si="63"/>
        <v>3947964.049619358</v>
      </c>
      <c r="BM70" s="103"/>
      <c r="BN70" s="179">
        <f t="shared" si="64"/>
        <v>3788004.6096193581</v>
      </c>
      <c r="BO70" s="175">
        <f>BN70/SUM('TABLE 4 - October 2016 Dataset'!F70:H70)</f>
        <v>5118.9251481342681</v>
      </c>
      <c r="BP70" s="175">
        <f t="shared" si="45"/>
        <v>0</v>
      </c>
      <c r="BQ70" s="175">
        <f>BP70*SUM('TABLE 4 - October 2016 Dataset'!F70:H70)</f>
        <v>0</v>
      </c>
      <c r="BR70" s="94">
        <f t="shared" si="46"/>
        <v>3947964.049619358</v>
      </c>
      <c r="BS70" s="103"/>
      <c r="BT70" s="80">
        <f t="shared" si="47"/>
        <v>3840837.7017663675</v>
      </c>
      <c r="BU70" s="122">
        <f t="shared" si="48"/>
        <v>5190.3212186031997</v>
      </c>
      <c r="BV70" s="264">
        <f t="shared" si="49"/>
        <v>3947964.049619358</v>
      </c>
      <c r="BW70" s="81">
        <f>BV70/SUM('TABLE 4 - October 2016 Dataset'!F70:H70)</f>
        <v>5335.0865535396733</v>
      </c>
      <c r="BX70" s="264">
        <f t="shared" si="50"/>
        <v>107126.3478529905</v>
      </c>
      <c r="BY70" s="81">
        <f t="shared" si="51"/>
        <v>144.76533493647366</v>
      </c>
      <c r="BZ70" s="269">
        <f t="shared" si="52"/>
        <v>2.7891401868848569E-2</v>
      </c>
      <c r="CA70" s="103"/>
      <c r="CB70" s="80">
        <f>'TABLE 5 - DfE Published Figures'!J69</f>
        <v>3948000</v>
      </c>
      <c r="CC70" s="84">
        <f t="shared" si="53"/>
        <v>0</v>
      </c>
      <c r="CD70" s="81"/>
      <c r="CE70" s="81"/>
      <c r="CF70" s="81"/>
      <c r="CG70" s="81"/>
      <c r="CH70" s="2"/>
    </row>
    <row r="71" spans="2:86" ht="5.0999999999999996" customHeight="1">
      <c r="B71" s="198"/>
      <c r="C71" s="60"/>
      <c r="D71" s="204"/>
      <c r="F71" s="80"/>
      <c r="G71" s="108"/>
      <c r="H71" s="108"/>
      <c r="I71" s="94"/>
      <c r="J71" s="103"/>
      <c r="K71" s="80"/>
      <c r="L71" s="108"/>
      <c r="M71" s="108"/>
      <c r="N71" s="94"/>
      <c r="O71" s="103"/>
      <c r="P71" s="80"/>
      <c r="Q71" s="81"/>
      <c r="R71" s="122"/>
      <c r="S71" s="129"/>
      <c r="T71" s="81"/>
      <c r="U71" s="81"/>
      <c r="V71" s="81"/>
      <c r="W71" s="81"/>
      <c r="X71" s="81"/>
      <c r="Y71" s="81"/>
      <c r="Z71" s="108"/>
      <c r="AA71" s="108"/>
      <c r="AB71" s="129"/>
      <c r="AC71" s="140"/>
      <c r="AD71" s="140"/>
      <c r="AE71" s="140"/>
      <c r="AF71" s="140"/>
      <c r="AG71" s="140"/>
      <c r="AH71" s="140"/>
      <c r="AI71" s="140"/>
      <c r="AJ71" s="140"/>
      <c r="AK71" s="140"/>
      <c r="AL71" s="94"/>
      <c r="AM71" s="103"/>
      <c r="AN71" s="80"/>
      <c r="AO71" s="108"/>
      <c r="AP71" s="108"/>
      <c r="AQ71" s="108"/>
      <c r="AR71" s="94"/>
      <c r="AS71" s="103"/>
      <c r="AT71" s="80"/>
      <c r="AU71" s="108"/>
      <c r="AV71" s="108"/>
      <c r="AW71" s="108"/>
      <c r="AX71" s="108"/>
      <c r="AY71" s="108"/>
      <c r="AZ71" s="108"/>
      <c r="BA71" s="108"/>
      <c r="BB71" s="94"/>
      <c r="BC71" s="103"/>
      <c r="BD71" s="186"/>
      <c r="BE71" s="108"/>
      <c r="BF71" s="81"/>
      <c r="BG71" s="108"/>
      <c r="BH71" s="108"/>
      <c r="BI71" s="108"/>
      <c r="BJ71" s="108"/>
      <c r="BK71" s="108"/>
      <c r="BL71" s="94"/>
      <c r="BM71" s="103"/>
      <c r="BN71" s="80"/>
      <c r="BO71" s="108"/>
      <c r="BP71" s="108"/>
      <c r="BQ71" s="108"/>
      <c r="BR71" s="94"/>
      <c r="BS71" s="103"/>
      <c r="BT71" s="188"/>
      <c r="BU71" s="261"/>
      <c r="BV71" s="265"/>
      <c r="BW71" s="212"/>
      <c r="BX71" s="265"/>
      <c r="BY71" s="212"/>
      <c r="BZ71" s="84"/>
      <c r="CA71" s="103"/>
      <c r="CB71" s="188"/>
      <c r="CC71" s="84"/>
      <c r="CD71" s="81"/>
      <c r="CE71" s="81"/>
      <c r="CF71" s="81"/>
      <c r="CG71" s="81"/>
      <c r="CH71" s="2"/>
    </row>
    <row r="72" spans="2:86" s="104" customFormat="1" ht="15.75">
      <c r="B72" s="205"/>
      <c r="C72" s="85" t="s">
        <v>170</v>
      </c>
      <c r="D72" s="206"/>
      <c r="E72" s="86"/>
      <c r="F72" s="87">
        <f>SUM(F61:F71)</f>
        <v>8620</v>
      </c>
      <c r="G72" s="109">
        <f>SUM(G61:G71)</f>
        <v>20</v>
      </c>
      <c r="H72" s="112">
        <f>SUM(H61:H71)</f>
        <v>0</v>
      </c>
      <c r="I72" s="89">
        <f>SUM(I61:I71)</f>
        <v>8640</v>
      </c>
      <c r="J72" s="103"/>
      <c r="K72" s="87">
        <f>SUM(K61:K71)</f>
        <v>40534233.082311213</v>
      </c>
      <c r="L72" s="109">
        <f>SUM(L61:L71)</f>
        <v>86489.561760000011</v>
      </c>
      <c r="M72" s="112">
        <f>SUM(M61:M71)</f>
        <v>0</v>
      </c>
      <c r="N72" s="89">
        <f>SUM(N61:N71)</f>
        <v>40620722.644071214</v>
      </c>
      <c r="O72" s="103"/>
      <c r="P72" s="87">
        <f>SUM(P61:P71)</f>
        <v>0</v>
      </c>
      <c r="Q72" s="88">
        <f>SUM(Q61:Q71)</f>
        <v>20761743.750000004</v>
      </c>
      <c r="R72" s="123">
        <f>SUM(R61:R71)</f>
        <v>14319669.65</v>
      </c>
      <c r="S72" s="130">
        <f>SUM(S61:S71)</f>
        <v>35081413.400000006</v>
      </c>
      <c r="T72" s="88">
        <f t="shared" ref="T72:AB72" si="65">SUM(T61:T71)</f>
        <v>267960.00000000012</v>
      </c>
      <c r="U72" s="88">
        <f t="shared" si="65"/>
        <v>1213435.1315000635</v>
      </c>
      <c r="V72" s="88">
        <f t="shared" si="65"/>
        <v>0</v>
      </c>
      <c r="W72" s="88">
        <f t="shared" si="65"/>
        <v>138934.19566443679</v>
      </c>
      <c r="X72" s="88">
        <f t="shared" si="65"/>
        <v>145888.5773815971</v>
      </c>
      <c r="Y72" s="88">
        <f t="shared" si="65"/>
        <v>192600.84058817109</v>
      </c>
      <c r="Z72" s="88">
        <f t="shared" si="65"/>
        <v>56353.033982616827</v>
      </c>
      <c r="AA72" s="88">
        <f t="shared" si="65"/>
        <v>230556.79304478056</v>
      </c>
      <c r="AB72" s="130">
        <f t="shared" si="65"/>
        <v>2245728.5721616661</v>
      </c>
      <c r="AC72" s="130">
        <f t="shared" ref="AC72:AL72" si="66">SUM(AC61:AC71)</f>
        <v>2768448.1269266689</v>
      </c>
      <c r="AD72" s="130">
        <f t="shared" si="66"/>
        <v>180504.05641688849</v>
      </c>
      <c r="AE72" s="130">
        <f t="shared" si="66"/>
        <v>0</v>
      </c>
      <c r="AF72" s="130">
        <f t="shared" si="66"/>
        <v>990000</v>
      </c>
      <c r="AG72" s="130">
        <f t="shared" si="66"/>
        <v>0</v>
      </c>
      <c r="AH72" s="130">
        <f t="shared" si="66"/>
        <v>983585.04</v>
      </c>
      <c r="AI72" s="130">
        <f t="shared" si="66"/>
        <v>0</v>
      </c>
      <c r="AJ72" s="130">
        <f t="shared" si="66"/>
        <v>176616</v>
      </c>
      <c r="AK72" s="130">
        <f t="shared" si="66"/>
        <v>0</v>
      </c>
      <c r="AL72" s="89">
        <f t="shared" si="66"/>
        <v>42426295.195505232</v>
      </c>
      <c r="AM72" s="103"/>
      <c r="AN72" s="87">
        <f>SUM(AN61:AN71)</f>
        <v>41266094.155505225</v>
      </c>
      <c r="AO72" s="88">
        <f>AN72/SUM('TABLE 4 - October 2016 Dataset'!F72:H72)</f>
        <v>4776.1683050353267</v>
      </c>
      <c r="AP72" s="88">
        <f>IF(AO72&lt;AP$78,AP$78-AO72,0)</f>
        <v>0</v>
      </c>
      <c r="AQ72" s="123">
        <f>SUM(AQ61:AQ71)</f>
        <v>115071.55124104294</v>
      </c>
      <c r="AR72" s="89">
        <f>SUM(AR61:AR71)</f>
        <v>42541366.746746272</v>
      </c>
      <c r="AS72" s="103"/>
      <c r="AT72" s="87">
        <f>SUM(AT61:AT71)</f>
        <v>38647137.604071215</v>
      </c>
      <c r="AU72" s="88">
        <f>SUM(AU61:AU71)</f>
        <v>40567781.70674628</v>
      </c>
      <c r="AV72" s="88">
        <f>AT72/I72</f>
        <v>4473.0483338045387</v>
      </c>
      <c r="AW72" s="88">
        <f>AU72/SUM('TABLE 4 - October 2016 Dataset'!F72:H72)</f>
        <v>4695.3451049474861</v>
      </c>
      <c r="AX72" s="174">
        <f>(AW72/AV72)-1</f>
        <v>4.9696930270787698E-2</v>
      </c>
      <c r="AY72" s="174">
        <f>IF(AX72&lt;AY$78,AY$78-AX72,0)</f>
        <v>0</v>
      </c>
      <c r="AZ72" s="88">
        <f>IF(AX72&lt;AY$78,(AY$78-AX72)*AV72,0)</f>
        <v>0</v>
      </c>
      <c r="BA72" s="123">
        <f>SUM(BA61:BA71)</f>
        <v>0</v>
      </c>
      <c r="BB72" s="89">
        <f>SUM(BB61:BB71)</f>
        <v>42541366.746746272</v>
      </c>
      <c r="BC72" s="103"/>
      <c r="BD72" s="87">
        <f>SUM(BD61:BD71)</f>
        <v>41259894.336874574</v>
      </c>
      <c r="BE72" s="88">
        <f>BD72/SUM('TABLE 4 - October 2016 Dataset'!F72:H72)</f>
        <v>4775.4507334345572</v>
      </c>
      <c r="BF72" s="174">
        <f>BE72/AV72-1</f>
        <v>6.760543975003519E-2</v>
      </c>
      <c r="BG72" s="174">
        <f>IF(BF72&gt;AY$78,BG$78*BF72,"            NA")</f>
        <v>1.3521087950007039E-2</v>
      </c>
      <c r="BH72" s="174">
        <f>IF(BF72&gt;AY$78,IF(BG72&gt;BH$78,BG72,BH$78),AY$78)</f>
        <v>0.03</v>
      </c>
      <c r="BI72" s="174">
        <f>IF(AX72&gt;BH72,BH72-AX72,0)</f>
        <v>-1.9696930270787699E-2</v>
      </c>
      <c r="BJ72" s="178">
        <f>BI72*AW72</f>
        <v>-92.483885129434981</v>
      </c>
      <c r="BK72" s="177">
        <f>SUM(BK61:BK71)</f>
        <v>-761229.97455292102</v>
      </c>
      <c r="BL72" s="89">
        <f>SUM(BL61:BL71)</f>
        <v>41780136.772193342</v>
      </c>
      <c r="BM72" s="103"/>
      <c r="BN72" s="87">
        <f>SUM(BN61:BN71)</f>
        <v>40619935.732193351</v>
      </c>
      <c r="BO72" s="88">
        <f>BN72/SUM('TABLE 4 - October 2016 Dataset'!F72:H72)</f>
        <v>4701.3814504853417</v>
      </c>
      <c r="BP72" s="88">
        <f>IF(BO72&lt;BP$78,BP$78-BO72,0)</f>
        <v>0</v>
      </c>
      <c r="BQ72" s="123">
        <f>SUM(BQ61:BQ71)</f>
        <v>212023.35016520668</v>
      </c>
      <c r="BR72" s="89">
        <f>SUM(BR61:BR71)</f>
        <v>41992160.122358561</v>
      </c>
      <c r="BS72" s="103"/>
      <c r="BT72" s="87">
        <f>SUM(BT61:BT71)</f>
        <v>40620722.644071214</v>
      </c>
      <c r="BU72" s="123">
        <f t="shared" si="48"/>
        <v>4701.4725282489835</v>
      </c>
      <c r="BV72" s="266">
        <f>SUM(BV61:BV71)</f>
        <v>41992160.122358561</v>
      </c>
      <c r="BW72" s="88">
        <f>BV72/SUM('TABLE 4 - October 2016 Dataset'!F72:H72)</f>
        <v>4860.2037178655737</v>
      </c>
      <c r="BX72" s="266">
        <f>SUM(BX61:BX71)</f>
        <v>1371437.4782873411</v>
      </c>
      <c r="BY72" s="88">
        <f t="shared" ref="BY72" si="67">BW72-BU72</f>
        <v>158.7311896165902</v>
      </c>
      <c r="BZ72" s="270">
        <f t="shared" ref="BZ72" si="68">BY72/BU72</f>
        <v>3.3762015764815717E-2</v>
      </c>
      <c r="CA72" s="103"/>
      <c r="CB72" s="87">
        <f>SUM(CB61:CB71)</f>
        <v>41776000</v>
      </c>
      <c r="CC72" s="90">
        <f>SUM(CC61:CC71)</f>
        <v>217000</v>
      </c>
      <c r="CD72" s="83"/>
      <c r="CE72" s="83"/>
      <c r="CF72" s="83"/>
      <c r="CG72" s="83"/>
      <c r="CH72" s="2"/>
    </row>
    <row r="73" spans="2:86" ht="4.5" customHeight="1" thickBot="1">
      <c r="B73" s="208"/>
      <c r="C73" s="92"/>
      <c r="D73" s="207"/>
      <c r="E73" s="92"/>
      <c r="F73" s="93"/>
      <c r="G73" s="110"/>
      <c r="H73" s="110"/>
      <c r="I73" s="94"/>
      <c r="J73" s="103"/>
      <c r="K73" s="93"/>
      <c r="L73" s="110"/>
      <c r="M73" s="110"/>
      <c r="N73" s="94"/>
      <c r="O73" s="103"/>
      <c r="P73" s="93"/>
      <c r="Q73" s="83"/>
      <c r="R73" s="124"/>
      <c r="S73" s="131"/>
      <c r="T73" s="83"/>
      <c r="U73" s="83"/>
      <c r="V73" s="83"/>
      <c r="W73" s="83"/>
      <c r="X73" s="83"/>
      <c r="Y73" s="83"/>
      <c r="Z73" s="83"/>
      <c r="AA73" s="83"/>
      <c r="AB73" s="131"/>
      <c r="AC73" s="131"/>
      <c r="AD73" s="131"/>
      <c r="AE73" s="131"/>
      <c r="AF73" s="131"/>
      <c r="AG73" s="131"/>
      <c r="AH73" s="131"/>
      <c r="AI73" s="131"/>
      <c r="AJ73" s="131"/>
      <c r="AK73" s="131"/>
      <c r="AL73" s="94"/>
      <c r="AM73" s="103"/>
      <c r="AN73" s="93"/>
      <c r="AO73" s="110"/>
      <c r="AP73" s="110"/>
      <c r="AQ73" s="110"/>
      <c r="AR73" s="94"/>
      <c r="AS73" s="103"/>
      <c r="AT73" s="93"/>
      <c r="AU73" s="110"/>
      <c r="AV73" s="110"/>
      <c r="AW73" s="110"/>
      <c r="AX73" s="110"/>
      <c r="AY73" s="110"/>
      <c r="AZ73" s="110"/>
      <c r="BA73" s="110"/>
      <c r="BB73" s="94"/>
      <c r="BC73" s="103"/>
      <c r="BD73" s="93"/>
      <c r="BE73" s="110"/>
      <c r="BF73" s="83"/>
      <c r="BG73" s="110"/>
      <c r="BH73" s="110"/>
      <c r="BI73" s="110"/>
      <c r="BJ73" s="110"/>
      <c r="BK73" s="110"/>
      <c r="BL73" s="94"/>
      <c r="BM73" s="103"/>
      <c r="BN73" s="93"/>
      <c r="BO73" s="110"/>
      <c r="BP73" s="110"/>
      <c r="BQ73" s="110"/>
      <c r="BR73" s="94"/>
      <c r="BS73" s="103"/>
      <c r="BT73" s="93"/>
      <c r="BU73" s="124"/>
      <c r="BV73" s="267"/>
      <c r="BW73" s="83"/>
      <c r="BX73" s="267"/>
      <c r="BY73" s="83"/>
      <c r="BZ73" s="95"/>
      <c r="CA73" s="103"/>
      <c r="CB73" s="93"/>
      <c r="CC73" s="95"/>
      <c r="CD73" s="83"/>
      <c r="CE73" s="83"/>
      <c r="CF73" s="83"/>
      <c r="CG73" s="83"/>
      <c r="CH73" s="2"/>
    </row>
    <row r="74" spans="2:86" s="104" customFormat="1" ht="17.25" thickTop="1" thickBot="1">
      <c r="B74" s="209"/>
      <c r="C74" s="96" t="s">
        <v>169</v>
      </c>
      <c r="D74" s="210"/>
      <c r="E74" s="86"/>
      <c r="F74" s="97">
        <f>SUM(F60,F72)</f>
        <v>22357</v>
      </c>
      <c r="G74" s="111">
        <f>SUM(G60,G72)</f>
        <v>33</v>
      </c>
      <c r="H74" s="111">
        <f>SUM(H60,H72)</f>
        <v>-28</v>
      </c>
      <c r="I74" s="99">
        <f>SUM(I60,I72)</f>
        <v>22362</v>
      </c>
      <c r="J74" s="103"/>
      <c r="K74" s="97">
        <f>SUM(K60,K72)</f>
        <v>88649127.657105714</v>
      </c>
      <c r="L74" s="111">
        <f>SUM(L60,L72)</f>
        <v>133356.36201000001</v>
      </c>
      <c r="M74" s="111">
        <f>SUM(M60,M72)</f>
        <v>88413.836666667019</v>
      </c>
      <c r="N74" s="99">
        <f>SUM(N60,N72)</f>
        <v>88870897.85578239</v>
      </c>
      <c r="O74" s="103"/>
      <c r="P74" s="97">
        <f>SUM(P60,P72)</f>
        <v>37694196.780000001</v>
      </c>
      <c r="Q74" s="98">
        <f>SUM(Q60,Q72)</f>
        <v>20761743.750000004</v>
      </c>
      <c r="R74" s="125">
        <f>SUM(R60,R72)</f>
        <v>14319669.65</v>
      </c>
      <c r="S74" s="132">
        <f>SUM(S60,S72)</f>
        <v>72775610.180000007</v>
      </c>
      <c r="T74" s="98">
        <f t="shared" ref="T74:AB74" si="69">SUM(T60,T72)</f>
        <v>755920.00000000047</v>
      </c>
      <c r="U74" s="98">
        <f t="shared" si="69"/>
        <v>2462935.3329359232</v>
      </c>
      <c r="V74" s="98">
        <f t="shared" si="69"/>
        <v>0</v>
      </c>
      <c r="W74" s="98">
        <f t="shared" si="69"/>
        <v>318377.16107654927</v>
      </c>
      <c r="X74" s="98">
        <f t="shared" si="69"/>
        <v>371864.06105155952</v>
      </c>
      <c r="Y74" s="98">
        <f t="shared" si="69"/>
        <v>460096.7299941688</v>
      </c>
      <c r="Z74" s="98">
        <f t="shared" si="69"/>
        <v>116329.57457691911</v>
      </c>
      <c r="AA74" s="98">
        <f t="shared" si="69"/>
        <v>506661.75375167548</v>
      </c>
      <c r="AB74" s="132">
        <f t="shared" si="69"/>
        <v>4992184.6133867959</v>
      </c>
      <c r="AC74" s="132">
        <f t="shared" ref="AC74:AL74" si="70">SUM(AC60,AC72)</f>
        <v>6855671.2694671266</v>
      </c>
      <c r="AD74" s="132">
        <f t="shared" si="70"/>
        <v>586717.73990178294</v>
      </c>
      <c r="AE74" s="132">
        <f t="shared" si="70"/>
        <v>51547.500000000131</v>
      </c>
      <c r="AF74" s="132">
        <f t="shared" si="70"/>
        <v>6490000</v>
      </c>
      <c r="AG74" s="132">
        <f t="shared" si="70"/>
        <v>0</v>
      </c>
      <c r="AH74" s="132">
        <f t="shared" si="70"/>
        <v>1722411.9300000002</v>
      </c>
      <c r="AI74" s="132">
        <f t="shared" si="70"/>
        <v>607741.45499999996</v>
      </c>
      <c r="AJ74" s="132">
        <f t="shared" si="70"/>
        <v>236412</v>
      </c>
      <c r="AK74" s="132">
        <f t="shared" si="70"/>
        <v>0</v>
      </c>
      <c r="AL74" s="99">
        <f t="shared" si="70"/>
        <v>94318296.687755704</v>
      </c>
      <c r="AM74" s="103"/>
      <c r="AN74" s="97">
        <f>SUM(AN60,AN72)</f>
        <v>91751731.302755713</v>
      </c>
      <c r="AO74" s="167">
        <f>AN74/SUM('TABLE 4 - October 2016 Dataset'!F74:H74)</f>
        <v>4103.0199133689166</v>
      </c>
      <c r="AP74" s="167">
        <f>IF(AO74&lt;(AP$76*7/12+AP78*5/12),(AP$76*7/12+AP78*5/12)-AO74,0)</f>
        <v>0</v>
      </c>
      <c r="AQ74" s="167">
        <f>SUM(AQ60,AQ72)</f>
        <v>169061.7560691222</v>
      </c>
      <c r="AR74" s="99">
        <f>SUM(AR60,AR72)</f>
        <v>94487358.443824828</v>
      </c>
      <c r="AS74" s="103"/>
      <c r="AT74" s="97">
        <f>SUM(AT60,AT72)</f>
        <v>80658485.925782368</v>
      </c>
      <c r="AU74" s="167">
        <f>SUM(AU60,AU72)</f>
        <v>86274946.51382485</v>
      </c>
      <c r="AV74" s="167">
        <f>AT74/I74</f>
        <v>3606.9441877194513</v>
      </c>
      <c r="AW74" s="167">
        <f>AU74/SUM('TABLE 4 - October 2016 Dataset'!F74:H74)</f>
        <v>3858.1051119678405</v>
      </c>
      <c r="AX74" s="176">
        <f>(AW74/AV74)-1</f>
        <v>6.9632606210962678E-2</v>
      </c>
      <c r="AY74" s="176">
        <f>IF(AX74&lt;AY$78,AY$78-AX74,0)</f>
        <v>0</v>
      </c>
      <c r="AZ74" s="167">
        <f>IF(AX74&lt;AY$78,(AY$78-AX74)*AV74,0)</f>
        <v>0</v>
      </c>
      <c r="BA74" s="167">
        <f>SUM(BA60,BA72)</f>
        <v>67957.26639636475</v>
      </c>
      <c r="BB74" s="99">
        <f>SUM(BB60,BB72)</f>
        <v>94555315.710221186</v>
      </c>
      <c r="BC74" s="103"/>
      <c r="BD74" s="97">
        <f>SUM(BD60,BD72)</f>
        <v>87715339.08563523</v>
      </c>
      <c r="BE74" s="167">
        <f>BD74/SUM('TABLE 4 - October 2016 Dataset'!F74:H74)</f>
        <v>3922.5176230048846</v>
      </c>
      <c r="BF74" s="176">
        <f>BE74/AV74-1</f>
        <v>8.7490523518457763E-2</v>
      </c>
      <c r="BG74" s="176">
        <f>IF(BF74&gt;AY$78,BG$78*BF74,"            NA")</f>
        <v>1.7498104703691553E-2</v>
      </c>
      <c r="BH74" s="176">
        <f>IF(BF74&gt;AY$78,IF(BG74&gt;BH$78,BG74,BH$78),AY$78)</f>
        <v>0.03</v>
      </c>
      <c r="BI74" s="176">
        <f>IF(AX74&gt;BH74,BH74-AX74,0)</f>
        <v>-3.9632606210962679E-2</v>
      </c>
      <c r="BJ74" s="167">
        <f>BI74*AW74</f>
        <v>-152.90676062312349</v>
      </c>
      <c r="BK74" s="167">
        <f>SUM(BK60,BK72)</f>
        <v>-3265645.8386954064</v>
      </c>
      <c r="BL74" s="99">
        <f>SUM(BL60,BL72)</f>
        <v>91289669.871525794</v>
      </c>
      <c r="BM74" s="103"/>
      <c r="BN74" s="97">
        <f>SUM(BN60,BN72)</f>
        <v>88723104.486525774</v>
      </c>
      <c r="BO74" s="167">
        <f>BN74/SUM('TABLE 4 - October 2016 Dataset'!F74:H74)</f>
        <v>3967.583601043099</v>
      </c>
      <c r="BP74" s="167">
        <f>IF(BO74&lt;(BP$76*7/12+BP78*5/12),(BP$76*7/12+BP78*5/12)-BO74,0)</f>
        <v>0</v>
      </c>
      <c r="BQ74" s="167">
        <f>SUM(BQ60,BQ72)</f>
        <v>1047100.4804948193</v>
      </c>
      <c r="BR74" s="99">
        <f>SUM(BR60,BR72)</f>
        <v>92336770.352020621</v>
      </c>
      <c r="BS74" s="103"/>
      <c r="BT74" s="97">
        <f>SUM(BT60,BT72)</f>
        <v>88870897.85578239</v>
      </c>
      <c r="BU74" s="125">
        <f t="shared" si="48"/>
        <v>3974.1927312307662</v>
      </c>
      <c r="BV74" s="268">
        <f>SUM(BV60,BV72)</f>
        <v>92336770.352020621</v>
      </c>
      <c r="BW74" s="98">
        <f>BV74/SUM('TABLE 4 - October 2016 Dataset'!F74:H74)</f>
        <v>4129.1821103667216</v>
      </c>
      <c r="BX74" s="268">
        <f>SUM(BX60,BX72)</f>
        <v>3465872.4962382326</v>
      </c>
      <c r="BY74" s="98">
        <f t="shared" ref="BY74" si="71">BW74-BU74</f>
        <v>154.98937913595546</v>
      </c>
      <c r="BZ74" s="271">
        <f t="shared" ref="BZ74" si="72">BY74/BU74</f>
        <v>3.8998958937745541E-2</v>
      </c>
      <c r="CA74" s="103"/>
      <c r="CB74" s="97">
        <f>SUM(CB60,CB72)</f>
        <v>91993000</v>
      </c>
      <c r="CC74" s="100">
        <f>SUM(CC60,CC72)</f>
        <v>349000</v>
      </c>
      <c r="CD74" s="83"/>
      <c r="CE74" s="83"/>
      <c r="CF74" s="83"/>
      <c r="CG74" s="83"/>
      <c r="CH74" s="2"/>
    </row>
    <row r="75" spans="2:86" ht="16.5" thickTop="1" thickBot="1">
      <c r="F75" s="105"/>
      <c r="G75" s="103"/>
      <c r="H75" s="103"/>
      <c r="I75" s="103"/>
      <c r="J75" s="103"/>
      <c r="K75" s="105"/>
      <c r="L75" s="105"/>
      <c r="M75" s="103"/>
      <c r="N75" s="103"/>
      <c r="O75" s="103"/>
      <c r="P75" s="105"/>
      <c r="Q75" s="105"/>
      <c r="R75" s="105"/>
      <c r="S75" s="103"/>
      <c r="T75" s="105"/>
      <c r="U75" s="105"/>
      <c r="V75" s="105"/>
      <c r="W75" s="105"/>
      <c r="X75" s="105"/>
      <c r="Y75" s="105"/>
      <c r="Z75" s="105"/>
      <c r="AA75" s="105"/>
      <c r="AB75" s="103"/>
      <c r="AC75" s="105"/>
      <c r="AD75" s="105"/>
      <c r="AE75" s="105"/>
      <c r="AF75" s="105"/>
      <c r="AG75" s="105"/>
      <c r="AH75" s="105"/>
      <c r="AI75" s="105"/>
      <c r="AJ75" s="105"/>
      <c r="AK75" s="105"/>
      <c r="AL75" s="103"/>
      <c r="AM75" s="103"/>
      <c r="AN75" s="105"/>
      <c r="AO75" s="105"/>
      <c r="AP75" s="105"/>
      <c r="AQ75" s="103"/>
      <c r="AR75" s="103"/>
      <c r="AS75" s="103"/>
      <c r="AT75" s="105"/>
      <c r="AU75" s="105"/>
      <c r="AV75" s="105"/>
      <c r="AW75" s="105"/>
      <c r="AX75" s="105"/>
      <c r="AY75" s="105"/>
      <c r="AZ75" s="105"/>
      <c r="BA75" s="103"/>
      <c r="BB75" s="103"/>
      <c r="BC75" s="103"/>
      <c r="BD75" s="105"/>
      <c r="BE75" s="105"/>
      <c r="BF75" s="105"/>
      <c r="BG75" s="105"/>
      <c r="BH75" s="105"/>
      <c r="BI75" s="105"/>
      <c r="BJ75" s="105"/>
      <c r="BK75" s="103"/>
      <c r="BL75" s="103"/>
      <c r="BM75" s="103"/>
      <c r="BN75" s="105"/>
      <c r="BO75" s="105"/>
      <c r="BP75" s="105"/>
      <c r="BQ75" s="103"/>
      <c r="BR75" s="103"/>
      <c r="BS75" s="103"/>
      <c r="BT75" s="103"/>
      <c r="BU75" s="103"/>
      <c r="BV75" s="103"/>
      <c r="BW75" s="103"/>
      <c r="BX75" s="103"/>
      <c r="BY75" s="103"/>
      <c r="BZ75" s="103"/>
      <c r="CA75" s="103"/>
      <c r="CB75" s="103"/>
      <c r="CC75" s="103"/>
      <c r="CD75" s="103"/>
      <c r="CE75" s="103"/>
      <c r="CF75" s="103"/>
      <c r="CG75" s="103"/>
    </row>
    <row r="76" spans="2:86" s="91" customFormat="1" ht="12.95" customHeight="1" thickTop="1">
      <c r="B76" s="426"/>
      <c r="C76" s="444" t="s">
        <v>278</v>
      </c>
      <c r="D76" s="445"/>
      <c r="E76" s="92"/>
      <c r="F76" s="360"/>
      <c r="G76" s="361"/>
      <c r="H76" s="361"/>
      <c r="I76" s="362"/>
      <c r="J76" s="211"/>
      <c r="K76" s="360"/>
      <c r="L76" s="361"/>
      <c r="M76" s="361"/>
      <c r="N76" s="362"/>
      <c r="O76" s="211"/>
      <c r="P76" s="370">
        <v>2746.99</v>
      </c>
      <c r="Q76" s="374"/>
      <c r="R76" s="374"/>
      <c r="S76" s="378"/>
      <c r="T76" s="382">
        <v>440</v>
      </c>
      <c r="U76" s="382">
        <v>540</v>
      </c>
      <c r="V76" s="382">
        <v>575</v>
      </c>
      <c r="W76" s="382">
        <v>420</v>
      </c>
      <c r="X76" s="382">
        <v>390</v>
      </c>
      <c r="Y76" s="382">
        <v>360</v>
      </c>
      <c r="Z76" s="382">
        <v>240</v>
      </c>
      <c r="AA76" s="352">
        <v>200</v>
      </c>
      <c r="AB76" s="389"/>
      <c r="AC76" s="354">
        <v>1050</v>
      </c>
      <c r="AD76" s="354">
        <v>515</v>
      </c>
      <c r="AE76" s="354">
        <v>711</v>
      </c>
      <c r="AF76" s="385">
        <v>110000</v>
      </c>
      <c r="AG76" s="393" t="s">
        <v>277</v>
      </c>
      <c r="AH76" s="398" t="s">
        <v>217</v>
      </c>
      <c r="AI76" s="297">
        <f>ROUND(156*(2746.99/2383.54),2)</f>
        <v>179.79</v>
      </c>
      <c r="AJ76" s="354">
        <v>198</v>
      </c>
      <c r="AK76" s="408">
        <v>0</v>
      </c>
      <c r="AL76" s="412"/>
      <c r="AM76" s="211"/>
      <c r="AN76" s="416"/>
      <c r="AO76" s="396"/>
      <c r="AP76" s="356">
        <v>3300</v>
      </c>
      <c r="AQ76" s="405"/>
      <c r="AR76" s="421"/>
      <c r="AS76" s="211"/>
      <c r="AT76" s="416"/>
      <c r="AU76" s="423"/>
      <c r="AV76" s="423"/>
      <c r="AW76" s="423"/>
      <c r="AX76" s="423"/>
      <c r="AY76" s="424">
        <v>5.0000000000000001E-3</v>
      </c>
      <c r="AZ76" s="357"/>
      <c r="BA76" s="358"/>
      <c r="BB76" s="421"/>
      <c r="BC76" s="117"/>
      <c r="BD76" s="416"/>
      <c r="BE76" s="423"/>
      <c r="BF76" s="423"/>
      <c r="BG76" s="424">
        <v>0.2</v>
      </c>
      <c r="BH76" s="424">
        <v>0.03</v>
      </c>
      <c r="BI76" s="450"/>
      <c r="BJ76" s="423"/>
      <c r="BK76" s="358"/>
      <c r="BL76" s="421"/>
      <c r="BM76" s="117"/>
      <c r="BN76" s="416"/>
      <c r="BO76" s="423"/>
      <c r="BP76" s="356">
        <f>AP76</f>
        <v>3300</v>
      </c>
      <c r="BQ76" s="405"/>
      <c r="BR76" s="421"/>
      <c r="BS76" s="117"/>
      <c r="BT76" s="429"/>
      <c r="BU76" s="430"/>
      <c r="BV76" s="430"/>
      <c r="BW76" s="430"/>
      <c r="BX76" s="430"/>
      <c r="BY76" s="430"/>
      <c r="BZ76" s="431"/>
      <c r="CA76" s="117"/>
      <c r="CB76" s="438"/>
      <c r="CC76" s="439"/>
      <c r="CD76" s="117"/>
      <c r="CE76" s="117"/>
      <c r="CF76" s="117"/>
      <c r="CG76" s="117"/>
    </row>
    <row r="77" spans="2:86" s="91" customFormat="1" ht="6.6" customHeight="1">
      <c r="B77" s="427"/>
      <c r="C77" s="446"/>
      <c r="D77" s="447"/>
      <c r="E77" s="92"/>
      <c r="F77" s="363"/>
      <c r="G77" s="364"/>
      <c r="H77" s="364"/>
      <c r="I77" s="365"/>
      <c r="J77" s="211"/>
      <c r="K77" s="363"/>
      <c r="L77" s="364"/>
      <c r="M77" s="364"/>
      <c r="N77" s="365"/>
      <c r="O77" s="211"/>
      <c r="P77" s="371"/>
      <c r="Q77" s="375"/>
      <c r="R77" s="375"/>
      <c r="S77" s="379"/>
      <c r="T77" s="375"/>
      <c r="U77" s="375"/>
      <c r="V77" s="375"/>
      <c r="W77" s="375"/>
      <c r="X77" s="375"/>
      <c r="Y77" s="375"/>
      <c r="Z77" s="375"/>
      <c r="AA77" s="353"/>
      <c r="AB77" s="390"/>
      <c r="AC77" s="355"/>
      <c r="AD77" s="355"/>
      <c r="AE77" s="355"/>
      <c r="AF77" s="355"/>
      <c r="AG77" s="394"/>
      <c r="AH77" s="399"/>
      <c r="AI77" s="402">
        <f>ROUND(19862*(110000/150000),0)</f>
        <v>14565</v>
      </c>
      <c r="AJ77" s="355"/>
      <c r="AK77" s="409"/>
      <c r="AL77" s="413"/>
      <c r="AM77" s="211"/>
      <c r="AN77" s="417"/>
      <c r="AO77" s="353"/>
      <c r="AP77" s="353"/>
      <c r="AQ77" s="359"/>
      <c r="AR77" s="413"/>
      <c r="AS77" s="211"/>
      <c r="AT77" s="417"/>
      <c r="AU77" s="353"/>
      <c r="AV77" s="353"/>
      <c r="AW77" s="353"/>
      <c r="AX77" s="353"/>
      <c r="AY77" s="353"/>
      <c r="AZ77" s="353"/>
      <c r="BA77" s="359"/>
      <c r="BB77" s="413"/>
      <c r="BC77" s="117"/>
      <c r="BD77" s="417"/>
      <c r="BE77" s="353"/>
      <c r="BF77" s="353"/>
      <c r="BG77" s="353"/>
      <c r="BH77" s="353"/>
      <c r="BI77" s="353"/>
      <c r="BJ77" s="353"/>
      <c r="BK77" s="359"/>
      <c r="BL77" s="413"/>
      <c r="BM77" s="117"/>
      <c r="BN77" s="417"/>
      <c r="BO77" s="353"/>
      <c r="BP77" s="353"/>
      <c r="BQ77" s="359"/>
      <c r="BR77" s="413"/>
      <c r="BS77" s="117"/>
      <c r="BT77" s="432"/>
      <c r="BU77" s="433"/>
      <c r="BV77" s="433"/>
      <c r="BW77" s="433"/>
      <c r="BX77" s="433"/>
      <c r="BY77" s="433"/>
      <c r="BZ77" s="434"/>
      <c r="CA77" s="117"/>
      <c r="CB77" s="440"/>
      <c r="CC77" s="441"/>
      <c r="CD77" s="117"/>
      <c r="CE77" s="117"/>
      <c r="CF77" s="117"/>
      <c r="CG77" s="117"/>
    </row>
    <row r="78" spans="2:86" s="91" customFormat="1" ht="6.6" customHeight="1">
      <c r="B78" s="427"/>
      <c r="C78" s="446" t="s">
        <v>279</v>
      </c>
      <c r="D78" s="447"/>
      <c r="E78" s="92"/>
      <c r="F78" s="366"/>
      <c r="G78" s="364"/>
      <c r="H78" s="364"/>
      <c r="I78" s="365"/>
      <c r="J78" s="211"/>
      <c r="K78" s="366"/>
      <c r="L78" s="364"/>
      <c r="M78" s="364"/>
      <c r="N78" s="365"/>
      <c r="O78" s="211"/>
      <c r="P78" s="372"/>
      <c r="Q78" s="376">
        <v>3862.65</v>
      </c>
      <c r="R78" s="376">
        <v>4385.8100000000004</v>
      </c>
      <c r="S78" s="380"/>
      <c r="T78" s="376">
        <v>440</v>
      </c>
      <c r="U78" s="376">
        <v>785</v>
      </c>
      <c r="V78" s="376">
        <v>810</v>
      </c>
      <c r="W78" s="376">
        <v>600</v>
      </c>
      <c r="X78" s="376">
        <v>560</v>
      </c>
      <c r="Y78" s="376">
        <v>515</v>
      </c>
      <c r="Z78" s="376">
        <v>390</v>
      </c>
      <c r="AA78" s="387">
        <v>290</v>
      </c>
      <c r="AB78" s="391"/>
      <c r="AC78" s="383">
        <v>1550</v>
      </c>
      <c r="AD78" s="383">
        <v>1385</v>
      </c>
      <c r="AE78" s="383">
        <v>711</v>
      </c>
      <c r="AF78" s="386">
        <v>110000</v>
      </c>
      <c r="AG78" s="394"/>
      <c r="AH78" s="400" t="s">
        <v>217</v>
      </c>
      <c r="AI78" s="403"/>
      <c r="AJ78" s="383">
        <v>198</v>
      </c>
      <c r="AK78" s="410">
        <v>0</v>
      </c>
      <c r="AL78" s="414"/>
      <c r="AM78" s="211"/>
      <c r="AN78" s="418"/>
      <c r="AO78" s="397"/>
      <c r="AP78" s="404">
        <v>4600</v>
      </c>
      <c r="AQ78" s="406"/>
      <c r="AR78" s="422"/>
      <c r="AS78" s="211"/>
      <c r="AT78" s="418"/>
      <c r="AU78" s="353"/>
      <c r="AV78" s="353"/>
      <c r="AW78" s="353"/>
      <c r="AX78" s="353"/>
      <c r="AY78" s="425">
        <v>5.0000000000000001E-3</v>
      </c>
      <c r="AZ78" s="420"/>
      <c r="BA78" s="359"/>
      <c r="BB78" s="422"/>
      <c r="BC78" s="117"/>
      <c r="BD78" s="418"/>
      <c r="BE78" s="353"/>
      <c r="BF78" s="353"/>
      <c r="BG78" s="425">
        <v>0.2</v>
      </c>
      <c r="BH78" s="425">
        <v>0.03</v>
      </c>
      <c r="BI78" s="451"/>
      <c r="BJ78" s="353"/>
      <c r="BK78" s="359"/>
      <c r="BL78" s="422"/>
      <c r="BM78" s="117"/>
      <c r="BN78" s="418"/>
      <c r="BO78" s="353"/>
      <c r="BP78" s="404">
        <f>AP78</f>
        <v>4600</v>
      </c>
      <c r="BQ78" s="406"/>
      <c r="BR78" s="422"/>
      <c r="BS78" s="117"/>
      <c r="BT78" s="432"/>
      <c r="BU78" s="433"/>
      <c r="BV78" s="433"/>
      <c r="BW78" s="433"/>
      <c r="BX78" s="433"/>
      <c r="BY78" s="433"/>
      <c r="BZ78" s="434"/>
      <c r="CA78" s="117"/>
      <c r="CB78" s="440"/>
      <c r="CC78" s="441"/>
      <c r="CD78" s="117"/>
      <c r="CE78" s="117"/>
      <c r="CF78" s="117"/>
      <c r="CG78" s="117"/>
    </row>
    <row r="79" spans="2:86" ht="12.95" customHeight="1" thickBot="1">
      <c r="B79" s="428"/>
      <c r="C79" s="448"/>
      <c r="D79" s="449"/>
      <c r="F79" s="367"/>
      <c r="G79" s="368"/>
      <c r="H79" s="368"/>
      <c r="I79" s="369"/>
      <c r="J79" s="212"/>
      <c r="K79" s="367"/>
      <c r="L79" s="368"/>
      <c r="M79" s="368"/>
      <c r="N79" s="369"/>
      <c r="O79" s="212"/>
      <c r="P79" s="373"/>
      <c r="Q79" s="377"/>
      <c r="R79" s="377"/>
      <c r="S79" s="381"/>
      <c r="T79" s="377"/>
      <c r="U79" s="377"/>
      <c r="V79" s="377"/>
      <c r="W79" s="377"/>
      <c r="X79" s="377"/>
      <c r="Y79" s="377"/>
      <c r="Z79" s="377"/>
      <c r="AA79" s="388"/>
      <c r="AB79" s="392"/>
      <c r="AC79" s="384"/>
      <c r="AD79" s="384"/>
      <c r="AE79" s="384"/>
      <c r="AF79" s="384"/>
      <c r="AG79" s="395"/>
      <c r="AH79" s="401"/>
      <c r="AI79" s="298">
        <v>3.5000000000000003E-2</v>
      </c>
      <c r="AJ79" s="384"/>
      <c r="AK79" s="411"/>
      <c r="AL79" s="415"/>
      <c r="AM79" s="212"/>
      <c r="AN79" s="419"/>
      <c r="AO79" s="388"/>
      <c r="AP79" s="388"/>
      <c r="AQ79" s="407"/>
      <c r="AR79" s="415"/>
      <c r="AS79" s="212"/>
      <c r="AT79" s="419"/>
      <c r="AU79" s="388"/>
      <c r="AV79" s="388"/>
      <c r="AW79" s="388"/>
      <c r="AX79" s="388"/>
      <c r="AY79" s="388"/>
      <c r="AZ79" s="388"/>
      <c r="BA79" s="407"/>
      <c r="BB79" s="415"/>
      <c r="BD79" s="419"/>
      <c r="BE79" s="388"/>
      <c r="BF79" s="388"/>
      <c r="BG79" s="388"/>
      <c r="BH79" s="388"/>
      <c r="BI79" s="388"/>
      <c r="BJ79" s="388"/>
      <c r="BK79" s="407"/>
      <c r="BL79" s="415"/>
      <c r="BN79" s="419"/>
      <c r="BO79" s="388"/>
      <c r="BP79" s="388"/>
      <c r="BQ79" s="407"/>
      <c r="BR79" s="415"/>
      <c r="BT79" s="435"/>
      <c r="BU79" s="436"/>
      <c r="BV79" s="436"/>
      <c r="BW79" s="436"/>
      <c r="BX79" s="436"/>
      <c r="BY79" s="436"/>
      <c r="BZ79" s="437"/>
      <c r="CB79" s="442"/>
      <c r="CC79" s="443"/>
    </row>
    <row r="80" spans="2:86" ht="17.25" thickTop="1" thickBot="1">
      <c r="F80" s="59"/>
      <c r="I80" s="117"/>
      <c r="P80" s="318" t="s">
        <v>356</v>
      </c>
      <c r="Q80" s="319" t="s">
        <v>357</v>
      </c>
      <c r="R80" s="319" t="s">
        <v>358</v>
      </c>
      <c r="S80" s="322"/>
      <c r="T80" s="319" t="s">
        <v>359</v>
      </c>
      <c r="U80" s="319" t="s">
        <v>360</v>
      </c>
      <c r="V80" s="319" t="s">
        <v>361</v>
      </c>
      <c r="W80" s="319" t="s">
        <v>362</v>
      </c>
      <c r="X80" s="319" t="s">
        <v>363</v>
      </c>
      <c r="Y80" s="319" t="s">
        <v>364</v>
      </c>
      <c r="Z80" s="319" t="s">
        <v>365</v>
      </c>
      <c r="AA80" s="319" t="s">
        <v>366</v>
      </c>
      <c r="AB80" s="322"/>
      <c r="AC80" s="320" t="s">
        <v>367</v>
      </c>
      <c r="AD80" s="320" t="s">
        <v>368</v>
      </c>
      <c r="AE80" s="320" t="s">
        <v>369</v>
      </c>
      <c r="AF80" s="320" t="s">
        <v>370</v>
      </c>
      <c r="AG80" s="320" t="s">
        <v>371</v>
      </c>
      <c r="AH80" s="320" t="s">
        <v>372</v>
      </c>
      <c r="AI80" s="321" t="s">
        <v>380</v>
      </c>
      <c r="AJ80" s="320" t="s">
        <v>373</v>
      </c>
      <c r="AK80" s="320" t="s">
        <v>374</v>
      </c>
      <c r="AL80" s="323"/>
      <c r="AP80" s="324" t="s">
        <v>375</v>
      </c>
      <c r="AY80" s="324" t="s">
        <v>376</v>
      </c>
      <c r="BG80" s="318" t="s">
        <v>377</v>
      </c>
      <c r="BH80" s="325" t="s">
        <v>378</v>
      </c>
      <c r="BP80" s="324" t="s">
        <v>379</v>
      </c>
    </row>
    <row r="81" spans="6:85" ht="16.5" thickTop="1">
      <c r="F81" s="59"/>
      <c r="I81" s="117"/>
    </row>
    <row r="82" spans="6:85" ht="15.75">
      <c r="F82" s="59"/>
      <c r="I82" s="117"/>
    </row>
    <row r="83" spans="6:85" ht="15.75">
      <c r="F83" s="59"/>
      <c r="I83" s="117"/>
      <c r="M83" s="101"/>
      <c r="N83" s="101"/>
      <c r="O83" s="101"/>
      <c r="S83" s="101"/>
      <c r="AB83" s="101"/>
      <c r="AL83" s="101"/>
      <c r="AQ83" s="101"/>
      <c r="AR83" s="101"/>
      <c r="AS83" s="101"/>
      <c r="BA83" s="101"/>
      <c r="BB83" s="101"/>
      <c r="BC83" s="101"/>
      <c r="BK83" s="101"/>
      <c r="BL83" s="101"/>
      <c r="BQ83" s="101"/>
      <c r="BR83" s="101"/>
      <c r="BS83" s="101"/>
      <c r="BT83" s="101"/>
      <c r="BU83" s="101"/>
      <c r="BV83" s="101"/>
      <c r="BW83" s="101"/>
      <c r="BX83" s="101"/>
      <c r="BY83" s="101"/>
      <c r="BZ83" s="101"/>
      <c r="CA83" s="101"/>
      <c r="CB83" s="101"/>
      <c r="CC83" s="101"/>
      <c r="CD83" s="101"/>
      <c r="CE83" s="101"/>
      <c r="CF83" s="101"/>
      <c r="CG83" s="101"/>
    </row>
    <row r="84" spans="6:85" ht="15.75">
      <c r="F84" s="59"/>
      <c r="I84" s="117"/>
    </row>
    <row r="85" spans="6:85" ht="15.75">
      <c r="F85" s="59"/>
      <c r="I85" s="117"/>
    </row>
    <row r="86" spans="6:85" ht="15.75">
      <c r="F86" s="59"/>
      <c r="H86" s="101"/>
      <c r="I86" s="117"/>
      <c r="J86" s="101"/>
      <c r="AM86" s="101"/>
      <c r="BM86" s="101"/>
    </row>
    <row r="87" spans="6:85" ht="15.75">
      <c r="I87" s="117"/>
    </row>
    <row r="108" spans="7:7">
      <c r="G108" s="101"/>
    </row>
  </sheetData>
  <sheetProtection password="CDFC" sheet="1" objects="1" scenarios="1"/>
  <mergeCells count="124">
    <mergeCell ref="B76:B77"/>
    <mergeCell ref="B78:B79"/>
    <mergeCell ref="BT76:BZ77"/>
    <mergeCell ref="BT78:BZ79"/>
    <mergeCell ref="CB76:CC77"/>
    <mergeCell ref="CB78:CC79"/>
    <mergeCell ref="C76:D77"/>
    <mergeCell ref="C78:D79"/>
    <mergeCell ref="BQ76:BQ77"/>
    <mergeCell ref="BQ78:BQ79"/>
    <mergeCell ref="BR76:BR77"/>
    <mergeCell ref="BR78:BR79"/>
    <mergeCell ref="BL76:BL77"/>
    <mergeCell ref="BL78:BL79"/>
    <mergeCell ref="BN76:BO77"/>
    <mergeCell ref="BN78:BO79"/>
    <mergeCell ref="BP76:BP77"/>
    <mergeCell ref="BP78:BP79"/>
    <mergeCell ref="BG76:BG77"/>
    <mergeCell ref="BG78:BG79"/>
    <mergeCell ref="BH76:BH77"/>
    <mergeCell ref="BH78:BH79"/>
    <mergeCell ref="BI76:BK77"/>
    <mergeCell ref="BI78:BK79"/>
    <mergeCell ref="AZ78:BA79"/>
    <mergeCell ref="BB76:BB77"/>
    <mergeCell ref="BB78:BB79"/>
    <mergeCell ref="BD76:BF77"/>
    <mergeCell ref="BD78:BF79"/>
    <mergeCell ref="AR76:AR77"/>
    <mergeCell ref="AR78:AR79"/>
    <mergeCell ref="AT76:AX77"/>
    <mergeCell ref="AT78:AX79"/>
    <mergeCell ref="AY76:AY77"/>
    <mergeCell ref="AY78:AY79"/>
    <mergeCell ref="AP78:AP79"/>
    <mergeCell ref="AQ76:AQ77"/>
    <mergeCell ref="AQ78:AQ79"/>
    <mergeCell ref="AK76:AK77"/>
    <mergeCell ref="AK78:AK79"/>
    <mergeCell ref="AL76:AL77"/>
    <mergeCell ref="AL78:AL79"/>
    <mergeCell ref="AN76:AN77"/>
    <mergeCell ref="AN78:AN79"/>
    <mergeCell ref="AJ78:AJ79"/>
    <mergeCell ref="V76:V77"/>
    <mergeCell ref="V78:V79"/>
    <mergeCell ref="W76:W77"/>
    <mergeCell ref="W78:W79"/>
    <mergeCell ref="X76:X77"/>
    <mergeCell ref="X78:X79"/>
    <mergeCell ref="AG76:AG79"/>
    <mergeCell ref="AO76:AO77"/>
    <mergeCell ref="AO78:AO79"/>
    <mergeCell ref="AH76:AH77"/>
    <mergeCell ref="AH78:AH79"/>
    <mergeCell ref="AI77:AI78"/>
    <mergeCell ref="S76:S77"/>
    <mergeCell ref="S78:S79"/>
    <mergeCell ref="T76:T77"/>
    <mergeCell ref="T78:T79"/>
    <mergeCell ref="U76:U77"/>
    <mergeCell ref="U78:U79"/>
    <mergeCell ref="AE78:AE79"/>
    <mergeCell ref="AF76:AF77"/>
    <mergeCell ref="AF78:AF79"/>
    <mergeCell ref="Y76:Y77"/>
    <mergeCell ref="Y78:Y79"/>
    <mergeCell ref="Z76:Z77"/>
    <mergeCell ref="Z78:Z79"/>
    <mergeCell ref="AA78:AA79"/>
    <mergeCell ref="AB76:AB77"/>
    <mergeCell ref="AB78:AB79"/>
    <mergeCell ref="AC76:AC77"/>
    <mergeCell ref="AC78:AC79"/>
    <mergeCell ref="AD76:AD77"/>
    <mergeCell ref="AD78:AD79"/>
    <mergeCell ref="AE76:AE77"/>
    <mergeCell ref="F76:I77"/>
    <mergeCell ref="F78:I79"/>
    <mergeCell ref="K76:N77"/>
    <mergeCell ref="K78:N79"/>
    <mergeCell ref="P76:P77"/>
    <mergeCell ref="P78:P79"/>
    <mergeCell ref="Q76:Q77"/>
    <mergeCell ref="Q78:Q79"/>
    <mergeCell ref="R76:R77"/>
    <mergeCell ref="R78:R79"/>
    <mergeCell ref="AP5:AQ5"/>
    <mergeCell ref="AT2:BB2"/>
    <mergeCell ref="AN2:AR2"/>
    <mergeCell ref="AP3:AQ3"/>
    <mergeCell ref="BP4:BQ4"/>
    <mergeCell ref="BP5:BQ5"/>
    <mergeCell ref="BD2:BL2"/>
    <mergeCell ref="BX5:BZ5"/>
    <mergeCell ref="AA76:AA77"/>
    <mergeCell ref="AJ76:AJ77"/>
    <mergeCell ref="AP76:AP77"/>
    <mergeCell ref="AZ76:BA77"/>
    <mergeCell ref="F2:I2"/>
    <mergeCell ref="K2:N2"/>
    <mergeCell ref="P2:AL2"/>
    <mergeCell ref="T3:AB3"/>
    <mergeCell ref="P3:S3"/>
    <mergeCell ref="BV5:BW5"/>
    <mergeCell ref="BX3:BZ3"/>
    <mergeCell ref="BX4:BZ4"/>
    <mergeCell ref="CB2:CC2"/>
    <mergeCell ref="AY3:BA3"/>
    <mergeCell ref="AY4:BA4"/>
    <mergeCell ref="AY5:BA5"/>
    <mergeCell ref="BI3:BK3"/>
    <mergeCell ref="BI4:BK4"/>
    <mergeCell ref="BI5:BK5"/>
    <mergeCell ref="BT2:BZ2"/>
    <mergeCell ref="BT3:BU3"/>
    <mergeCell ref="BT4:BU4"/>
    <mergeCell ref="BT5:BU5"/>
    <mergeCell ref="BV3:BW3"/>
    <mergeCell ref="BV4:BW4"/>
    <mergeCell ref="BN2:BR2"/>
    <mergeCell ref="BP3:BQ3"/>
    <mergeCell ref="AP4:AQ4"/>
  </mergeCells>
  <printOptions gridLines="1"/>
  <pageMargins left="0" right="0" top="0.39370078740157483" bottom="0.39370078740157483" header="0.11811023622047245" footer="0.11811023622047245"/>
  <pageSetup paperSize="8" scale="58" fitToWidth="3" orientation="landscape" r:id="rId1"/>
  <headerFooter>
    <oddHeader>&amp;C&amp;"Arial,Bold"&amp;12TABLE 1 - 2018/19 PROVISIONAL FUNDING ALLOCATIONS</oddHeader>
    <oddFooter>&amp;L&amp;"Arial,Regular"&amp;10&amp;Z&amp;F \ &amp;A&amp;C&amp;"-,Bold"&amp;12&amp;P of &amp;N&amp;R&amp;"Arial,Regular"&amp;10&amp;D / &amp;T</oddFooter>
  </headerFooter>
  <ignoredErrors>
    <ignoredError sqref="AJ9:AJ58 AJ62:AJ70 AQ9:AQ70 AO10:AO70 AO9:AP9 BO9:BQ59 BO61:BQ70 BQ60 BE9 AW9 AW10:AW70 BE10:BE70 BK9 BK10:BK70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J104"/>
  <sheetViews>
    <sheetView zoomScale="75" zoomScaleNormal="75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B2" sqref="B2"/>
    </sheetView>
  </sheetViews>
  <sheetFormatPr defaultRowHeight="15"/>
  <cols>
    <col min="1" max="1" width="0.85546875" style="1" customWidth="1"/>
    <col min="2" max="2" width="6.85546875" style="59" bestFit="1" customWidth="1"/>
    <col min="3" max="3" width="34.28515625" style="59" bestFit="1" customWidth="1"/>
    <col min="4" max="4" width="13.85546875" style="59" bestFit="1" customWidth="1"/>
    <col min="5" max="5" width="1.140625" style="60" customWidth="1"/>
    <col min="6" max="6" width="9.85546875" style="101" bestFit="1" customWidth="1"/>
    <col min="7" max="7" width="8.7109375" style="102" bestFit="1" customWidth="1"/>
    <col min="8" max="8" width="7.5703125" style="102" bestFit="1" customWidth="1"/>
    <col min="9" max="9" width="11" style="102" bestFit="1" customWidth="1"/>
    <col min="10" max="10" width="1.140625" style="102" customWidth="1"/>
    <col min="11" max="11" width="13.85546875" style="101" bestFit="1" customWidth="1"/>
    <col min="12" max="12" width="12" style="101" bestFit="1" customWidth="1"/>
    <col min="13" max="13" width="10.5703125" style="102" bestFit="1" customWidth="1"/>
    <col min="14" max="14" width="13.85546875" style="102" bestFit="1" customWidth="1"/>
    <col min="15" max="15" width="1.140625" style="102" customWidth="1"/>
    <col min="16" max="16" width="13.85546875" style="101" bestFit="1" customWidth="1"/>
    <col min="17" max="18" width="13.85546875" style="101" customWidth="1"/>
    <col min="19" max="19" width="13.85546875" style="102" bestFit="1" customWidth="1"/>
    <col min="20" max="20" width="10.5703125" style="101" bestFit="1" customWidth="1"/>
    <col min="21" max="21" width="12.5703125" style="101" bestFit="1" customWidth="1"/>
    <col min="22" max="22" width="9.28515625" style="101" bestFit="1" customWidth="1"/>
    <col min="23" max="27" width="10.5703125" style="101" bestFit="1" customWidth="1"/>
    <col min="28" max="28" width="13" style="102" bestFit="1" customWidth="1"/>
    <col min="29" max="29" width="13.140625" style="101" bestFit="1" customWidth="1"/>
    <col min="30" max="30" width="16" style="101" bestFit="1" customWidth="1"/>
    <col min="31" max="31" width="9.7109375" style="101" bestFit="1" customWidth="1"/>
    <col min="32" max="32" width="12.5703125" style="101" bestFit="1" customWidth="1"/>
    <col min="33" max="33" width="13.28515625" style="101" bestFit="1" customWidth="1"/>
    <col min="34" max="34" width="12.5703125" style="101" bestFit="1" customWidth="1"/>
    <col min="35" max="36" width="11" style="101" bestFit="1" customWidth="1"/>
    <col min="37" max="37" width="13.85546875" style="101" bestFit="1" customWidth="1"/>
    <col min="38" max="38" width="13.85546875" style="102" bestFit="1" customWidth="1"/>
    <col min="39" max="39" width="1.140625" style="102" customWidth="1"/>
    <col min="40" max="40" width="13.85546875" style="101" bestFit="1" customWidth="1"/>
    <col min="41" max="42" width="10.42578125" style="101" bestFit="1" customWidth="1"/>
    <col min="43" max="43" width="12.5703125" style="102" bestFit="1" customWidth="1"/>
    <col min="44" max="44" width="13.85546875" style="102" bestFit="1" customWidth="1"/>
    <col min="45" max="45" width="1.140625" style="102" customWidth="1"/>
    <col min="46" max="47" width="13.85546875" style="101" bestFit="1" customWidth="1"/>
    <col min="48" max="50" width="11.140625" style="101" bestFit="1" customWidth="1"/>
    <col min="51" max="51" width="10" style="101" bestFit="1" customWidth="1"/>
    <col min="52" max="52" width="8.7109375" style="101" bestFit="1" customWidth="1"/>
    <col min="53" max="53" width="9.28515625" style="102" bestFit="1" customWidth="1"/>
    <col min="54" max="54" width="13.85546875" style="102" bestFit="1" customWidth="1"/>
    <col min="55" max="55" width="1.140625" style="102" customWidth="1"/>
    <col min="56" max="56" width="13.85546875" style="101" bestFit="1" customWidth="1"/>
    <col min="57" max="57" width="11.140625" style="101" customWidth="1"/>
    <col min="58" max="60" width="11.140625" style="101" bestFit="1" customWidth="1"/>
    <col min="61" max="61" width="13" style="101" bestFit="1" customWidth="1"/>
    <col min="62" max="62" width="12" style="101" bestFit="1" customWidth="1"/>
    <col min="63" max="63" width="10" style="101" bestFit="1" customWidth="1"/>
    <col min="64" max="64" width="8.7109375" style="101" bestFit="1" customWidth="1"/>
    <col min="65" max="65" width="13.28515625" style="102" bestFit="1" customWidth="1"/>
    <col min="66" max="66" width="13.85546875" style="102" bestFit="1" customWidth="1"/>
    <col min="67" max="67" width="1.140625" style="102" customWidth="1"/>
    <col min="68" max="68" width="13.85546875" style="101" bestFit="1" customWidth="1"/>
    <col min="69" max="70" width="10.42578125" style="101" bestFit="1" customWidth="1"/>
    <col min="71" max="71" width="12.5703125" style="102" bestFit="1" customWidth="1"/>
    <col min="72" max="72" width="13.85546875" style="102" bestFit="1" customWidth="1"/>
    <col min="73" max="73" width="1.140625" style="102" customWidth="1"/>
    <col min="74" max="74" width="13.85546875" style="102" bestFit="1" customWidth="1"/>
    <col min="75" max="75" width="8.7109375" style="102" bestFit="1" customWidth="1"/>
    <col min="76" max="76" width="13.85546875" style="102" bestFit="1" customWidth="1"/>
    <col min="77" max="77" width="9.28515625" style="102" bestFit="1" customWidth="1"/>
    <col min="78" max="78" width="12.5703125" style="102" bestFit="1" customWidth="1"/>
    <col min="79" max="79" width="8.7109375" style="102" bestFit="1" customWidth="1"/>
    <col min="80" max="80" width="8" style="102" bestFit="1" customWidth="1"/>
    <col min="81" max="81" width="1.140625" style="102" customWidth="1"/>
    <col min="82" max="82" width="13.85546875" style="102" customWidth="1"/>
    <col min="83" max="83" width="11.42578125" style="102" bestFit="1" customWidth="1"/>
    <col min="84" max="87" width="13.85546875" style="102" customWidth="1"/>
    <col min="88" max="16384" width="9.140625" style="1"/>
  </cols>
  <sheetData>
    <row r="1" spans="2:88" ht="5.0999999999999996" customHeight="1" thickBot="1"/>
    <row r="2" spans="2:88" ht="16.5" thickTop="1">
      <c r="B2" s="62"/>
      <c r="C2" s="63"/>
      <c r="D2" s="197"/>
      <c r="F2" s="329" t="s">
        <v>180</v>
      </c>
      <c r="G2" s="330"/>
      <c r="H2" s="330"/>
      <c r="I2" s="331"/>
      <c r="K2" s="329" t="s">
        <v>174</v>
      </c>
      <c r="L2" s="330"/>
      <c r="M2" s="330"/>
      <c r="N2" s="331"/>
      <c r="P2" s="332" t="s">
        <v>258</v>
      </c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0"/>
      <c r="AD2" s="330"/>
      <c r="AE2" s="330"/>
      <c r="AF2" s="330"/>
      <c r="AG2" s="330"/>
      <c r="AH2" s="330"/>
      <c r="AI2" s="330"/>
      <c r="AJ2" s="330"/>
      <c r="AK2" s="330"/>
      <c r="AL2" s="331"/>
      <c r="AN2" s="329" t="s">
        <v>227</v>
      </c>
      <c r="AO2" s="330"/>
      <c r="AP2" s="330"/>
      <c r="AQ2" s="330"/>
      <c r="AR2" s="331"/>
      <c r="AT2" s="329" t="s">
        <v>262</v>
      </c>
      <c r="AU2" s="330"/>
      <c r="AV2" s="330"/>
      <c r="AW2" s="330"/>
      <c r="AX2" s="330"/>
      <c r="AY2" s="330"/>
      <c r="AZ2" s="330"/>
      <c r="BA2" s="330"/>
      <c r="BB2" s="331"/>
      <c r="BD2" s="329" t="s">
        <v>263</v>
      </c>
      <c r="BE2" s="330"/>
      <c r="BF2" s="330"/>
      <c r="BG2" s="330"/>
      <c r="BH2" s="330"/>
      <c r="BI2" s="330"/>
      <c r="BJ2" s="330"/>
      <c r="BK2" s="330"/>
      <c r="BL2" s="330"/>
      <c r="BM2" s="330"/>
      <c r="BN2" s="331"/>
      <c r="BP2" s="329" t="s">
        <v>250</v>
      </c>
      <c r="BQ2" s="330"/>
      <c r="BR2" s="330"/>
      <c r="BS2" s="330"/>
      <c r="BT2" s="331"/>
      <c r="BV2" s="344" t="s">
        <v>281</v>
      </c>
      <c r="BW2" s="333"/>
      <c r="BX2" s="333"/>
      <c r="BY2" s="333"/>
      <c r="BZ2" s="333"/>
      <c r="CA2" s="333"/>
      <c r="CB2" s="345"/>
      <c r="CD2" s="344" t="s">
        <v>253</v>
      </c>
      <c r="CE2" s="345"/>
      <c r="CF2" s="68"/>
      <c r="CG2" s="68"/>
      <c r="CH2" s="68"/>
      <c r="CI2" s="68"/>
    </row>
    <row r="3" spans="2:88" ht="15.75">
      <c r="B3" s="198"/>
      <c r="C3" s="60"/>
      <c r="D3" s="70" t="s">
        <v>16</v>
      </c>
      <c r="F3" s="64" t="s">
        <v>175</v>
      </c>
      <c r="G3" s="65" t="s">
        <v>176</v>
      </c>
      <c r="H3" s="114" t="s">
        <v>178</v>
      </c>
      <c r="I3" s="116" t="s">
        <v>141</v>
      </c>
      <c r="K3" s="106" t="s">
        <v>141</v>
      </c>
      <c r="L3" s="65" t="s">
        <v>176</v>
      </c>
      <c r="M3" s="65" t="s">
        <v>181</v>
      </c>
      <c r="N3" s="116" t="s">
        <v>141</v>
      </c>
      <c r="P3" s="337" t="s">
        <v>183</v>
      </c>
      <c r="Q3" s="335"/>
      <c r="R3" s="335"/>
      <c r="S3" s="336"/>
      <c r="T3" s="334" t="s">
        <v>189</v>
      </c>
      <c r="U3" s="335"/>
      <c r="V3" s="335"/>
      <c r="W3" s="335"/>
      <c r="X3" s="335"/>
      <c r="Y3" s="335"/>
      <c r="Z3" s="335"/>
      <c r="AA3" s="335"/>
      <c r="AB3" s="336"/>
      <c r="AC3" s="136" t="s">
        <v>200</v>
      </c>
      <c r="AD3" s="136" t="s">
        <v>203</v>
      </c>
      <c r="AE3" s="136" t="s">
        <v>176</v>
      </c>
      <c r="AF3" s="136"/>
      <c r="AG3" s="136" t="s">
        <v>272</v>
      </c>
      <c r="AH3" s="136"/>
      <c r="AI3" s="136" t="s">
        <v>212</v>
      </c>
      <c r="AJ3" s="136"/>
      <c r="AK3" s="136" t="s">
        <v>218</v>
      </c>
      <c r="AL3" s="71" t="s">
        <v>273</v>
      </c>
      <c r="AN3" s="106" t="s">
        <v>228</v>
      </c>
      <c r="AO3" s="65" t="s">
        <v>230</v>
      </c>
      <c r="AP3" s="341" t="s">
        <v>231</v>
      </c>
      <c r="AQ3" s="346"/>
      <c r="AR3" s="71" t="s">
        <v>233</v>
      </c>
      <c r="AT3" s="106" t="s">
        <v>141</v>
      </c>
      <c r="AU3" s="172" t="s">
        <v>145</v>
      </c>
      <c r="AV3" s="65" t="s">
        <v>141</v>
      </c>
      <c r="AW3" s="172" t="s">
        <v>145</v>
      </c>
      <c r="AX3" s="172" t="s">
        <v>160</v>
      </c>
      <c r="AY3" s="341" t="s">
        <v>244</v>
      </c>
      <c r="AZ3" s="341"/>
      <c r="BA3" s="346"/>
      <c r="BB3" s="71" t="s">
        <v>237</v>
      </c>
      <c r="BD3" s="259" t="s">
        <v>1</v>
      </c>
      <c r="BE3" s="260" t="s">
        <v>1</v>
      </c>
      <c r="BF3" s="260" t="s">
        <v>1</v>
      </c>
      <c r="BG3" s="260" t="s">
        <v>145</v>
      </c>
      <c r="BH3" s="172" t="s">
        <v>4</v>
      </c>
      <c r="BI3" s="172" t="s">
        <v>240</v>
      </c>
      <c r="BJ3" s="172" t="s">
        <v>243</v>
      </c>
      <c r="BK3" s="341" t="s">
        <v>246</v>
      </c>
      <c r="BL3" s="341"/>
      <c r="BM3" s="346"/>
      <c r="BN3" s="71" t="s">
        <v>237</v>
      </c>
      <c r="BP3" s="106" t="s">
        <v>228</v>
      </c>
      <c r="BQ3" s="65" t="s">
        <v>230</v>
      </c>
      <c r="BR3" s="341" t="s">
        <v>231</v>
      </c>
      <c r="BS3" s="346"/>
      <c r="BT3" s="71" t="s">
        <v>274</v>
      </c>
      <c r="BV3" s="348" t="s">
        <v>141</v>
      </c>
      <c r="BW3" s="349"/>
      <c r="BX3" s="340" t="s">
        <v>145</v>
      </c>
      <c r="BY3" s="351"/>
      <c r="BZ3" s="340" t="s">
        <v>1</v>
      </c>
      <c r="CA3" s="341"/>
      <c r="CB3" s="342"/>
      <c r="CD3" s="182" t="s">
        <v>162</v>
      </c>
      <c r="CE3" s="180"/>
      <c r="CF3" s="68"/>
      <c r="CG3" s="68"/>
      <c r="CH3" s="68"/>
      <c r="CI3" s="68"/>
    </row>
    <row r="4" spans="2:88" ht="15.75">
      <c r="B4" s="199" t="s">
        <v>162</v>
      </c>
      <c r="C4" s="61"/>
      <c r="D4" s="70" t="s">
        <v>14</v>
      </c>
      <c r="F4" s="72" t="s">
        <v>141</v>
      </c>
      <c r="G4" s="68" t="s">
        <v>177</v>
      </c>
      <c r="H4" s="115" t="s">
        <v>179</v>
      </c>
      <c r="I4" s="71" t="s">
        <v>163</v>
      </c>
      <c r="K4" s="67" t="s">
        <v>271</v>
      </c>
      <c r="L4" s="68" t="s">
        <v>177</v>
      </c>
      <c r="M4" s="74" t="s">
        <v>182</v>
      </c>
      <c r="N4" s="71" t="s">
        <v>163</v>
      </c>
      <c r="P4" s="64" t="s">
        <v>153</v>
      </c>
      <c r="Q4" s="66" t="s">
        <v>185</v>
      </c>
      <c r="R4" s="118" t="s">
        <v>186</v>
      </c>
      <c r="S4" s="127"/>
      <c r="T4" s="126" t="s">
        <v>190</v>
      </c>
      <c r="U4" s="66" t="s">
        <v>190</v>
      </c>
      <c r="V4" s="66" t="s">
        <v>193</v>
      </c>
      <c r="W4" s="113" t="s">
        <v>193</v>
      </c>
      <c r="X4" s="113" t="s">
        <v>193</v>
      </c>
      <c r="Y4" s="113" t="s">
        <v>193</v>
      </c>
      <c r="Z4" s="65" t="s">
        <v>193</v>
      </c>
      <c r="AA4" s="65" t="s">
        <v>193</v>
      </c>
      <c r="AB4" s="127"/>
      <c r="AC4" s="137" t="s">
        <v>201</v>
      </c>
      <c r="AD4" s="137" t="s">
        <v>204</v>
      </c>
      <c r="AE4" s="137" t="s">
        <v>5</v>
      </c>
      <c r="AF4" s="137" t="s">
        <v>207</v>
      </c>
      <c r="AG4" s="137" t="s">
        <v>223</v>
      </c>
      <c r="AH4" s="137" t="s">
        <v>210</v>
      </c>
      <c r="AI4" s="137" t="s">
        <v>213</v>
      </c>
      <c r="AJ4" s="137" t="s">
        <v>215</v>
      </c>
      <c r="AK4" s="137" t="s">
        <v>219</v>
      </c>
      <c r="AL4" s="71" t="s">
        <v>221</v>
      </c>
      <c r="AN4" s="67" t="s">
        <v>229</v>
      </c>
      <c r="AO4" s="68" t="s">
        <v>5</v>
      </c>
      <c r="AP4" s="339" t="s">
        <v>78</v>
      </c>
      <c r="AQ4" s="347"/>
      <c r="AR4" s="71" t="s">
        <v>221</v>
      </c>
      <c r="AT4" s="67" t="s">
        <v>234</v>
      </c>
      <c r="AU4" s="68" t="s">
        <v>234</v>
      </c>
      <c r="AV4" s="68" t="s">
        <v>234</v>
      </c>
      <c r="AW4" s="68" t="s">
        <v>234</v>
      </c>
      <c r="AX4" s="68" t="s">
        <v>236</v>
      </c>
      <c r="AY4" s="339" t="s">
        <v>245</v>
      </c>
      <c r="AZ4" s="339"/>
      <c r="BA4" s="347"/>
      <c r="BB4" s="71" t="s">
        <v>234</v>
      </c>
      <c r="BD4" s="67" t="s">
        <v>259</v>
      </c>
      <c r="BE4" s="258" t="s">
        <v>259</v>
      </c>
      <c r="BF4" s="69" t="s">
        <v>242</v>
      </c>
      <c r="BG4" s="69" t="s">
        <v>242</v>
      </c>
      <c r="BH4" s="69" t="s">
        <v>242</v>
      </c>
      <c r="BI4" s="68" t="s">
        <v>241</v>
      </c>
      <c r="BJ4" s="68" t="s">
        <v>239</v>
      </c>
      <c r="BK4" s="339" t="s">
        <v>247</v>
      </c>
      <c r="BL4" s="339"/>
      <c r="BM4" s="347"/>
      <c r="BN4" s="71" t="s">
        <v>248</v>
      </c>
      <c r="BP4" s="67" t="s">
        <v>229</v>
      </c>
      <c r="BQ4" s="68" t="s">
        <v>5</v>
      </c>
      <c r="BR4" s="339" t="s">
        <v>78</v>
      </c>
      <c r="BS4" s="347"/>
      <c r="BT4" s="71" t="s">
        <v>275</v>
      </c>
      <c r="BV4" s="350" t="s">
        <v>259</v>
      </c>
      <c r="BW4" s="347"/>
      <c r="BX4" s="338" t="s">
        <v>283</v>
      </c>
      <c r="BY4" s="339"/>
      <c r="BZ4" s="338" t="s">
        <v>283</v>
      </c>
      <c r="CA4" s="339"/>
      <c r="CB4" s="343"/>
      <c r="CD4" s="182" t="s">
        <v>254</v>
      </c>
      <c r="CE4" s="180" t="s">
        <v>256</v>
      </c>
      <c r="CF4" s="68"/>
      <c r="CG4" s="68"/>
      <c r="CH4" s="68"/>
      <c r="CI4" s="68"/>
    </row>
    <row r="5" spans="2:88" ht="15.75">
      <c r="B5" s="199" t="s">
        <v>164</v>
      </c>
      <c r="C5" s="61" t="s">
        <v>165</v>
      </c>
      <c r="D5" s="70" t="s">
        <v>17</v>
      </c>
      <c r="E5" s="61"/>
      <c r="F5" s="67" t="s">
        <v>271</v>
      </c>
      <c r="G5" s="68" t="s">
        <v>172</v>
      </c>
      <c r="H5" s="68" t="s">
        <v>173</v>
      </c>
      <c r="I5" s="71" t="s">
        <v>159</v>
      </c>
      <c r="K5" s="67" t="s">
        <v>78</v>
      </c>
      <c r="L5" s="68" t="s">
        <v>172</v>
      </c>
      <c r="M5" s="68" t="s">
        <v>161</v>
      </c>
      <c r="N5" s="71" t="s">
        <v>159</v>
      </c>
      <c r="P5" s="67" t="s">
        <v>184</v>
      </c>
      <c r="Q5" s="69" t="s">
        <v>184</v>
      </c>
      <c r="R5" s="119" t="s">
        <v>184</v>
      </c>
      <c r="S5" s="127" t="s">
        <v>159</v>
      </c>
      <c r="T5" s="69" t="s">
        <v>191</v>
      </c>
      <c r="U5" s="69" t="s">
        <v>192</v>
      </c>
      <c r="V5" s="69" t="s">
        <v>194</v>
      </c>
      <c r="W5" s="69" t="s">
        <v>195</v>
      </c>
      <c r="X5" s="69" t="s">
        <v>196</v>
      </c>
      <c r="Y5" s="69" t="s">
        <v>197</v>
      </c>
      <c r="Z5" s="68" t="s">
        <v>198</v>
      </c>
      <c r="AA5" s="68" t="s">
        <v>199</v>
      </c>
      <c r="AB5" s="127" t="s">
        <v>159</v>
      </c>
      <c r="AC5" s="137" t="s">
        <v>202</v>
      </c>
      <c r="AD5" s="137" t="s">
        <v>205</v>
      </c>
      <c r="AE5" s="137" t="s">
        <v>206</v>
      </c>
      <c r="AF5" s="137" t="s">
        <v>208</v>
      </c>
      <c r="AG5" s="137" t="s">
        <v>209</v>
      </c>
      <c r="AH5" s="137" t="s">
        <v>211</v>
      </c>
      <c r="AI5" s="137" t="s">
        <v>214</v>
      </c>
      <c r="AJ5" s="137" t="s">
        <v>216</v>
      </c>
      <c r="AK5" s="137" t="s">
        <v>220</v>
      </c>
      <c r="AL5" s="71" t="s">
        <v>159</v>
      </c>
      <c r="AN5" s="67" t="s">
        <v>78</v>
      </c>
      <c r="AO5" s="68" t="s">
        <v>78</v>
      </c>
      <c r="AP5" s="339" t="s">
        <v>232</v>
      </c>
      <c r="AQ5" s="347"/>
      <c r="AR5" s="71" t="s">
        <v>159</v>
      </c>
      <c r="AT5" s="67" t="s">
        <v>159</v>
      </c>
      <c r="AU5" s="68" t="s">
        <v>159</v>
      </c>
      <c r="AV5" s="68" t="s">
        <v>235</v>
      </c>
      <c r="AW5" s="68" t="s">
        <v>235</v>
      </c>
      <c r="AX5" s="68" t="s">
        <v>235</v>
      </c>
      <c r="AY5" s="339" t="s">
        <v>232</v>
      </c>
      <c r="AZ5" s="339"/>
      <c r="BA5" s="347"/>
      <c r="BB5" s="71" t="s">
        <v>159</v>
      </c>
      <c r="BD5" s="67" t="s">
        <v>159</v>
      </c>
      <c r="BE5" s="258" t="s">
        <v>235</v>
      </c>
      <c r="BF5" s="69" t="s">
        <v>235</v>
      </c>
      <c r="BG5" s="69" t="s">
        <v>235</v>
      </c>
      <c r="BH5" s="69" t="s">
        <v>235</v>
      </c>
      <c r="BI5" s="68" t="s">
        <v>242</v>
      </c>
      <c r="BJ5" s="68" t="s">
        <v>242</v>
      </c>
      <c r="BK5" s="339" t="s">
        <v>232</v>
      </c>
      <c r="BL5" s="339"/>
      <c r="BM5" s="347"/>
      <c r="BN5" s="71" t="s">
        <v>159</v>
      </c>
      <c r="BP5" s="67" t="s">
        <v>78</v>
      </c>
      <c r="BQ5" s="68" t="s">
        <v>78</v>
      </c>
      <c r="BR5" s="339" t="s">
        <v>232</v>
      </c>
      <c r="BS5" s="347"/>
      <c r="BT5" s="71" t="s">
        <v>159</v>
      </c>
      <c r="BV5" s="350" t="s">
        <v>78</v>
      </c>
      <c r="BW5" s="347"/>
      <c r="BX5" s="338" t="s">
        <v>78</v>
      </c>
      <c r="BY5" s="339"/>
      <c r="BZ5" s="338" t="s">
        <v>276</v>
      </c>
      <c r="CA5" s="339"/>
      <c r="CB5" s="343"/>
      <c r="CD5" s="182" t="s">
        <v>159</v>
      </c>
      <c r="CE5" s="180" t="s">
        <v>255</v>
      </c>
      <c r="CF5" s="68"/>
      <c r="CG5" s="68"/>
      <c r="CH5" s="68"/>
      <c r="CI5" s="68"/>
    </row>
    <row r="6" spans="2:88" ht="15.75">
      <c r="B6" s="200"/>
      <c r="C6" s="201"/>
      <c r="D6" s="202"/>
      <c r="E6" s="61"/>
      <c r="F6" s="67" t="s">
        <v>171</v>
      </c>
      <c r="G6" s="69" t="s">
        <v>171</v>
      </c>
      <c r="H6" s="68" t="s">
        <v>171</v>
      </c>
      <c r="I6" s="71" t="s">
        <v>0</v>
      </c>
      <c r="K6" s="72" t="s">
        <v>0</v>
      </c>
      <c r="L6" s="73" t="s">
        <v>0</v>
      </c>
      <c r="M6" s="68" t="s">
        <v>0</v>
      </c>
      <c r="N6" s="71" t="s">
        <v>0</v>
      </c>
      <c r="P6" s="72" t="s">
        <v>0</v>
      </c>
      <c r="Q6" s="73" t="s">
        <v>0</v>
      </c>
      <c r="R6" s="120" t="s">
        <v>0</v>
      </c>
      <c r="S6" s="127" t="s">
        <v>0</v>
      </c>
      <c r="T6" s="73" t="s">
        <v>0</v>
      </c>
      <c r="U6" s="73" t="s">
        <v>0</v>
      </c>
      <c r="V6" s="73" t="s">
        <v>0</v>
      </c>
      <c r="W6" s="73" t="s">
        <v>0</v>
      </c>
      <c r="X6" s="73" t="s">
        <v>0</v>
      </c>
      <c r="Y6" s="73" t="s">
        <v>0</v>
      </c>
      <c r="Z6" s="73" t="s">
        <v>0</v>
      </c>
      <c r="AA6" s="73" t="s">
        <v>0</v>
      </c>
      <c r="AB6" s="127" t="s">
        <v>0</v>
      </c>
      <c r="AC6" s="138" t="s">
        <v>0</v>
      </c>
      <c r="AD6" s="138" t="s">
        <v>0</v>
      </c>
      <c r="AE6" s="138" t="s">
        <v>0</v>
      </c>
      <c r="AF6" s="138" t="s">
        <v>0</v>
      </c>
      <c r="AG6" s="138" t="s">
        <v>0</v>
      </c>
      <c r="AH6" s="138" t="s">
        <v>0</v>
      </c>
      <c r="AI6" s="138" t="s">
        <v>0</v>
      </c>
      <c r="AJ6" s="138" t="s">
        <v>0</v>
      </c>
      <c r="AK6" s="138" t="s">
        <v>0</v>
      </c>
      <c r="AL6" s="71" t="s">
        <v>0</v>
      </c>
      <c r="AN6" s="72" t="s">
        <v>0</v>
      </c>
      <c r="AO6" s="73" t="s">
        <v>75</v>
      </c>
      <c r="AP6" s="73" t="s">
        <v>75</v>
      </c>
      <c r="AQ6" s="68" t="s">
        <v>0</v>
      </c>
      <c r="AR6" s="71" t="s">
        <v>0</v>
      </c>
      <c r="AT6" s="72" t="s">
        <v>0</v>
      </c>
      <c r="AU6" s="73" t="s">
        <v>0</v>
      </c>
      <c r="AV6" s="73" t="s">
        <v>75</v>
      </c>
      <c r="AW6" s="73" t="s">
        <v>75</v>
      </c>
      <c r="AX6" s="73" t="s">
        <v>3</v>
      </c>
      <c r="AY6" s="73" t="s">
        <v>3</v>
      </c>
      <c r="AZ6" s="73" t="s">
        <v>75</v>
      </c>
      <c r="BA6" s="68" t="s">
        <v>0</v>
      </c>
      <c r="BB6" s="71" t="s">
        <v>0</v>
      </c>
      <c r="BD6" s="72" t="s">
        <v>0</v>
      </c>
      <c r="BE6" s="73" t="s">
        <v>75</v>
      </c>
      <c r="BF6" s="73" t="s">
        <v>3</v>
      </c>
      <c r="BG6" s="73" t="s">
        <v>3</v>
      </c>
      <c r="BH6" s="73" t="s">
        <v>3</v>
      </c>
      <c r="BI6" s="73" t="s">
        <v>3</v>
      </c>
      <c r="BJ6" s="73" t="s">
        <v>3</v>
      </c>
      <c r="BK6" s="73" t="s">
        <v>3</v>
      </c>
      <c r="BL6" s="73" t="s">
        <v>75</v>
      </c>
      <c r="BM6" s="68" t="s">
        <v>0</v>
      </c>
      <c r="BN6" s="71" t="s">
        <v>0</v>
      </c>
      <c r="BP6" s="72" t="s">
        <v>0</v>
      </c>
      <c r="BQ6" s="73" t="s">
        <v>75</v>
      </c>
      <c r="BR6" s="73" t="s">
        <v>75</v>
      </c>
      <c r="BS6" s="68" t="s">
        <v>0</v>
      </c>
      <c r="BT6" s="71" t="s">
        <v>0</v>
      </c>
      <c r="BV6" s="276" t="s">
        <v>0</v>
      </c>
      <c r="BW6" s="120" t="s">
        <v>75</v>
      </c>
      <c r="BX6" s="274" t="s">
        <v>0</v>
      </c>
      <c r="BY6" s="73" t="s">
        <v>75</v>
      </c>
      <c r="BZ6" s="274" t="s">
        <v>0</v>
      </c>
      <c r="CA6" s="73" t="s">
        <v>75</v>
      </c>
      <c r="CB6" s="275" t="s">
        <v>3</v>
      </c>
      <c r="CD6" s="182" t="s">
        <v>0</v>
      </c>
      <c r="CE6" s="180" t="s">
        <v>0</v>
      </c>
      <c r="CF6" s="68"/>
      <c r="CG6" s="68"/>
      <c r="CH6" s="68"/>
      <c r="CI6" s="68"/>
    </row>
    <row r="7" spans="2:88" s="314" customFormat="1" ht="15.75">
      <c r="B7" s="310"/>
      <c r="C7" s="311"/>
      <c r="D7" s="312"/>
      <c r="E7" s="309"/>
      <c r="F7" s="299" t="s">
        <v>285</v>
      </c>
      <c r="G7" s="306" t="s">
        <v>286</v>
      </c>
      <c r="H7" s="300" t="s">
        <v>287</v>
      </c>
      <c r="I7" s="301" t="s">
        <v>288</v>
      </c>
      <c r="J7" s="313"/>
      <c r="K7" s="299" t="s">
        <v>289</v>
      </c>
      <c r="L7" s="306" t="s">
        <v>290</v>
      </c>
      <c r="M7" s="300" t="s">
        <v>291</v>
      </c>
      <c r="N7" s="301" t="s">
        <v>292</v>
      </c>
      <c r="O7" s="313"/>
      <c r="P7" s="299" t="s">
        <v>293</v>
      </c>
      <c r="Q7" s="306" t="s">
        <v>294</v>
      </c>
      <c r="R7" s="307" t="s">
        <v>296</v>
      </c>
      <c r="S7" s="302" t="s">
        <v>295</v>
      </c>
      <c r="T7" s="306" t="s">
        <v>297</v>
      </c>
      <c r="U7" s="306" t="s">
        <v>298</v>
      </c>
      <c r="V7" s="306" t="s">
        <v>299</v>
      </c>
      <c r="W7" s="306" t="s">
        <v>300</v>
      </c>
      <c r="X7" s="306" t="s">
        <v>301</v>
      </c>
      <c r="Y7" s="306" t="s">
        <v>302</v>
      </c>
      <c r="Z7" s="306" t="s">
        <v>303</v>
      </c>
      <c r="AA7" s="306" t="s">
        <v>304</v>
      </c>
      <c r="AB7" s="302" t="s">
        <v>305</v>
      </c>
      <c r="AC7" s="308" t="s">
        <v>306</v>
      </c>
      <c r="AD7" s="308" t="s">
        <v>307</v>
      </c>
      <c r="AE7" s="308" t="s">
        <v>308</v>
      </c>
      <c r="AF7" s="308" t="s">
        <v>309</v>
      </c>
      <c r="AG7" s="308" t="s">
        <v>310</v>
      </c>
      <c r="AH7" s="308" t="s">
        <v>311</v>
      </c>
      <c r="AI7" s="308" t="s">
        <v>312</v>
      </c>
      <c r="AJ7" s="308" t="s">
        <v>313</v>
      </c>
      <c r="AK7" s="308" t="s">
        <v>314</v>
      </c>
      <c r="AL7" s="301" t="s">
        <v>315</v>
      </c>
      <c r="AM7" s="313"/>
      <c r="AN7" s="299" t="s">
        <v>316</v>
      </c>
      <c r="AO7" s="306" t="s">
        <v>317</v>
      </c>
      <c r="AP7" s="306" t="s">
        <v>318</v>
      </c>
      <c r="AQ7" s="300" t="s">
        <v>319</v>
      </c>
      <c r="AR7" s="301" t="s">
        <v>320</v>
      </c>
      <c r="AS7" s="313"/>
      <c r="AT7" s="299" t="s">
        <v>321</v>
      </c>
      <c r="AU7" s="306" t="s">
        <v>322</v>
      </c>
      <c r="AV7" s="306" t="s">
        <v>323</v>
      </c>
      <c r="AW7" s="306" t="s">
        <v>324</v>
      </c>
      <c r="AX7" s="306" t="s">
        <v>325</v>
      </c>
      <c r="AY7" s="306" t="s">
        <v>326</v>
      </c>
      <c r="AZ7" s="306" t="s">
        <v>327</v>
      </c>
      <c r="BA7" s="300" t="s">
        <v>328</v>
      </c>
      <c r="BB7" s="301" t="s">
        <v>329</v>
      </c>
      <c r="BC7" s="313"/>
      <c r="BD7" s="299" t="s">
        <v>330</v>
      </c>
      <c r="BE7" s="306" t="s">
        <v>331</v>
      </c>
      <c r="BF7" s="306" t="s">
        <v>332</v>
      </c>
      <c r="BG7" s="306" t="s">
        <v>333</v>
      </c>
      <c r="BH7" s="306" t="s">
        <v>334</v>
      </c>
      <c r="BI7" s="306" t="s">
        <v>335</v>
      </c>
      <c r="BJ7" s="306" t="s">
        <v>336</v>
      </c>
      <c r="BK7" s="306" t="s">
        <v>337</v>
      </c>
      <c r="BL7" s="306" t="s">
        <v>338</v>
      </c>
      <c r="BM7" s="300" t="s">
        <v>339</v>
      </c>
      <c r="BN7" s="301" t="s">
        <v>340</v>
      </c>
      <c r="BO7" s="313"/>
      <c r="BP7" s="299" t="s">
        <v>341</v>
      </c>
      <c r="BQ7" s="306" t="s">
        <v>342</v>
      </c>
      <c r="BR7" s="306" t="s">
        <v>343</v>
      </c>
      <c r="BS7" s="300" t="s">
        <v>344</v>
      </c>
      <c r="BT7" s="301" t="s">
        <v>345</v>
      </c>
      <c r="BU7" s="313"/>
      <c r="BV7" s="303" t="s">
        <v>346</v>
      </c>
      <c r="BW7" s="307" t="s">
        <v>347</v>
      </c>
      <c r="BX7" s="304" t="s">
        <v>348</v>
      </c>
      <c r="BY7" s="306" t="s">
        <v>349</v>
      </c>
      <c r="BZ7" s="304" t="s">
        <v>350</v>
      </c>
      <c r="CA7" s="306" t="s">
        <v>351</v>
      </c>
      <c r="CB7" s="305" t="s">
        <v>352</v>
      </c>
      <c r="CC7" s="313"/>
      <c r="CD7" s="303" t="s">
        <v>353</v>
      </c>
      <c r="CE7" s="305" t="s">
        <v>354</v>
      </c>
      <c r="CF7" s="300"/>
      <c r="CG7" s="300"/>
      <c r="CH7" s="300"/>
      <c r="CI7" s="300"/>
    </row>
    <row r="8" spans="2:88" ht="24.95" customHeight="1">
      <c r="B8" s="198"/>
      <c r="C8" s="75" t="s">
        <v>166</v>
      </c>
      <c r="D8" s="203"/>
      <c r="E8" s="75"/>
      <c r="F8" s="76"/>
      <c r="G8" s="107"/>
      <c r="H8" s="107"/>
      <c r="I8" s="78"/>
      <c r="J8" s="103"/>
      <c r="K8" s="76"/>
      <c r="L8" s="107"/>
      <c r="M8" s="107"/>
      <c r="N8" s="78"/>
      <c r="O8" s="103"/>
      <c r="P8" s="76"/>
      <c r="Q8" s="77"/>
      <c r="R8" s="121"/>
      <c r="S8" s="128"/>
      <c r="T8" s="77"/>
      <c r="U8" s="77"/>
      <c r="V8" s="77"/>
      <c r="W8" s="77"/>
      <c r="X8" s="77"/>
      <c r="Y8" s="77"/>
      <c r="Z8" s="107"/>
      <c r="AA8" s="107"/>
      <c r="AB8" s="128"/>
      <c r="AC8" s="139"/>
      <c r="AD8" s="139"/>
      <c r="AE8" s="139"/>
      <c r="AF8" s="139"/>
      <c r="AG8" s="139"/>
      <c r="AH8" s="139"/>
      <c r="AI8" s="139"/>
      <c r="AJ8" s="139"/>
      <c r="AK8" s="139"/>
      <c r="AL8" s="78"/>
      <c r="AM8" s="103"/>
      <c r="AN8" s="76"/>
      <c r="AO8" s="107"/>
      <c r="AP8" s="107"/>
      <c r="AQ8" s="107"/>
      <c r="AR8" s="78"/>
      <c r="AS8" s="103"/>
      <c r="AT8" s="76"/>
      <c r="AU8" s="107"/>
      <c r="AV8" s="107"/>
      <c r="AW8" s="107"/>
      <c r="AX8" s="107"/>
      <c r="AY8" s="107"/>
      <c r="AZ8" s="107"/>
      <c r="BA8" s="107"/>
      <c r="BB8" s="78"/>
      <c r="BC8" s="103"/>
      <c r="BD8" s="183"/>
      <c r="BE8" s="107"/>
      <c r="BF8" s="77"/>
      <c r="BG8" s="77"/>
      <c r="BH8" s="77"/>
      <c r="BI8" s="107"/>
      <c r="BJ8" s="107"/>
      <c r="BK8" s="107"/>
      <c r="BL8" s="107"/>
      <c r="BM8" s="107"/>
      <c r="BN8" s="78"/>
      <c r="BO8" s="103"/>
      <c r="BP8" s="76"/>
      <c r="BQ8" s="107"/>
      <c r="BR8" s="107"/>
      <c r="BS8" s="107"/>
      <c r="BT8" s="78"/>
      <c r="BU8" s="103"/>
      <c r="BV8" s="76"/>
      <c r="BW8" s="121"/>
      <c r="BX8" s="263"/>
      <c r="BY8" s="77"/>
      <c r="BZ8" s="263"/>
      <c r="CA8" s="77"/>
      <c r="CB8" s="79"/>
      <c r="CC8" s="103"/>
      <c r="CD8" s="76"/>
      <c r="CE8" s="79"/>
      <c r="CF8" s="77"/>
      <c r="CG8" s="77"/>
      <c r="CH8" s="77"/>
      <c r="CI8" s="77"/>
      <c r="CJ8" s="2"/>
    </row>
    <row r="9" spans="2:88" ht="15.75">
      <c r="B9" s="198">
        <v>2000</v>
      </c>
      <c r="C9" s="60" t="s">
        <v>9</v>
      </c>
      <c r="D9" s="204"/>
      <c r="F9" s="80">
        <v>293</v>
      </c>
      <c r="G9" s="163"/>
      <c r="H9" s="164">
        <v>0</v>
      </c>
      <c r="I9" s="94">
        <f t="shared" ref="I9:I58" si="0">SUM(F9:H9)</f>
        <v>293</v>
      </c>
      <c r="J9" s="103"/>
      <c r="K9" s="80">
        <v>951775.52262444759</v>
      </c>
      <c r="L9" s="163"/>
      <c r="M9" s="163"/>
      <c r="N9" s="94">
        <f t="shared" ref="N9:N58" si="1">SUM(K9:M9)</f>
        <v>951775.52262444759</v>
      </c>
      <c r="O9" s="103"/>
      <c r="P9" s="80">
        <f>P$76*'TABLE 4 - October 2016 Dataset'!F9</f>
        <v>804868.07</v>
      </c>
      <c r="Q9" s="160"/>
      <c r="R9" s="161"/>
      <c r="S9" s="162">
        <f>SUM(P9:R9)</f>
        <v>804868.07</v>
      </c>
      <c r="T9" s="165">
        <f>T$76*'TABLE 4 - October 2016 Dataset'!I9</f>
        <v>4399.9999999999991</v>
      </c>
      <c r="U9" s="165">
        <f>U$76*'TABLE 4 - October 2016 Dataset'!J9</f>
        <v>13889.541984732823</v>
      </c>
      <c r="V9" s="165">
        <f>V$76*'TABLE 4 - October 2016 Dataset'!K9</f>
        <v>0</v>
      </c>
      <c r="W9" s="165">
        <f>W$76*'TABLE 4 - October 2016 Dataset'!L9</f>
        <v>0</v>
      </c>
      <c r="X9" s="165">
        <f>X$76*'TABLE 4 - October 2016 Dataset'!M9</f>
        <v>10139.999999999998</v>
      </c>
      <c r="Y9" s="165">
        <f>Y$76*'TABLE 4 - October 2016 Dataset'!N9</f>
        <v>3240.0000000000045</v>
      </c>
      <c r="Z9" s="165">
        <f>Z$76*'TABLE 4 - October 2016 Dataset'!O9</f>
        <v>0</v>
      </c>
      <c r="AA9" s="165">
        <f>AA$76*'TABLE 4 - October 2016 Dataset'!P9</f>
        <v>5199.9999999999991</v>
      </c>
      <c r="AB9" s="162">
        <f>SUM(T9:AA9)</f>
        <v>36869.541984732823</v>
      </c>
      <c r="AC9" s="140">
        <f>AC$76*'TABLE 4 - October 2016 Dataset'!Q9</f>
        <v>66018.910256410294</v>
      </c>
      <c r="AD9" s="140">
        <f>AD$76*'TABLE 4 - October 2016 Dataset'!R9</f>
        <v>3224.2521367521413</v>
      </c>
      <c r="AE9" s="140">
        <f>AE$76*'TABLE 4 - October 2016 Dataset'!S9</f>
        <v>0</v>
      </c>
      <c r="AF9" s="140">
        <f>AF$76</f>
        <v>110000</v>
      </c>
      <c r="AG9" s="140">
        <f>IF('TABLE 4 - October 2016 Dataset'!X9="No",0,"*CHECK*")</f>
        <v>0</v>
      </c>
      <c r="AH9" s="140">
        <f>'TABLE 4 - October 2016 Dataset'!Y9</f>
        <v>29040</v>
      </c>
      <c r="AI9" s="170">
        <f>IF('TABLE 4 - October 2016 Dataset'!Z9&gt;0,('TABLE 4 - October 2016 Dataset'!Z9*(1+'TABLE 1 - 2018-19 Provisional'!AI$79)*(1+AI$79))-((AI$76*SUM('TABLE 4 - October 2016 Dataset'!F9:H9))+AI$77),0)</f>
        <v>0</v>
      </c>
      <c r="AJ9" s="166" t="str">
        <f>IF('TABLE 4 - October 2016 Dataset'!AA9="Yes",'TABLE 2 - 2019-20 Illustrative'!AJ$76*SUM('TABLE 4 - October 2016 Dataset'!F9:H9),"")</f>
        <v/>
      </c>
      <c r="AK9" s="140">
        <f>AK$76*SUM(S9,AB9:AJ9)</f>
        <v>0</v>
      </c>
      <c r="AL9" s="94">
        <f>SUM(S9,AB9:AK9)</f>
        <v>1050020.7743778951</v>
      </c>
      <c r="AM9" s="103"/>
      <c r="AN9" s="80">
        <f t="shared" ref="AN9:AN58" si="2">AL9-SUM(AH9:AJ9)</f>
        <v>1020980.7743778951</v>
      </c>
      <c r="AO9" s="165">
        <f>AN9/SUM('TABLE 4 - October 2016 Dataset'!F9:H9)</f>
        <v>3484.5760217675597</v>
      </c>
      <c r="AP9" s="165">
        <f t="shared" ref="AP9:AP60" si="3">IF(AO9&lt;AP$76,AP$76-AO9,0)</f>
        <v>15.423978232440277</v>
      </c>
      <c r="AQ9" s="165">
        <f>AP9*SUM('TABLE 4 - October 2016 Dataset'!F9:H9)</f>
        <v>4519.2256221050011</v>
      </c>
      <c r="AR9" s="94">
        <f>AL9+AQ9</f>
        <v>1054540</v>
      </c>
      <c r="AS9" s="103"/>
      <c r="AT9" s="80">
        <f>N9-(AF9+AG9+'TABLE 4 - October 2016 Dataset'!Y9)</f>
        <v>812735.52262444759</v>
      </c>
      <c r="AU9" s="187">
        <f>AR9-(AF9+AG9+AH9)</f>
        <v>915500</v>
      </c>
      <c r="AV9" s="165">
        <f>AT9/I9</f>
        <v>2773.8413741448721</v>
      </c>
      <c r="AW9" s="165">
        <f>AU9/SUM('TABLE 4 - October 2016 Dataset'!F9:H9)</f>
        <v>3124.5733788395905</v>
      </c>
      <c r="AX9" s="173">
        <f>(AW9/AV9)-1</f>
        <v>0.12644270431752536</v>
      </c>
      <c r="AY9" s="173">
        <f>IF(AX9&lt;AY$76,AY$76-AX9,0)</f>
        <v>0</v>
      </c>
      <c r="AZ9" s="175">
        <f>AY9*AV9</f>
        <v>0</v>
      </c>
      <c r="BA9" s="165">
        <f>AZ9*I9</f>
        <v>0</v>
      </c>
      <c r="BB9" s="94">
        <f>AR9+BA9</f>
        <v>1054540</v>
      </c>
      <c r="BC9" s="103"/>
      <c r="BD9" s="184">
        <f>'TABLE 1 - 2018-19 Provisional'!BR9-('TABLE 2 - 2019-20 Illustrative'!AF9+'TABLE 2 - 2019-20 Illustrative'!AG9+'TABLE 1 - 2018-19 Provisional'!AH9)</f>
        <v>856900</v>
      </c>
      <c r="BE9" s="165">
        <f>BD9/SUM('TABLE 4 - October 2016 Dataset'!F9:H9)</f>
        <v>2924.5733788395905</v>
      </c>
      <c r="BF9" s="173">
        <f>(BE9/AV9)-1</f>
        <v>5.4340527940674566E-2</v>
      </c>
      <c r="BG9" s="173">
        <f>(AW9/BE9)-1</f>
        <v>6.8386042712101691E-2</v>
      </c>
      <c r="BH9" s="173">
        <f>'TABLE 1 - 2018-19 Provisional'!BF9</f>
        <v>0.12644270431752536</v>
      </c>
      <c r="BI9" s="185">
        <f t="shared" ref="BI9:BI40" si="4">IF(BH9&gt;AY$76,BI$76*BG9,"            NA")</f>
        <v>1.3677208542420339E-2</v>
      </c>
      <c r="BJ9" s="185">
        <f t="shared" ref="BJ9:BJ51" si="5">IF(BH9&gt;AY$76,IF(BI9&gt;BJ$76,BI9,IF(BG9&lt;BJ$76,BG9,BJ$76)),AY$76/2)</f>
        <v>0.03</v>
      </c>
      <c r="BK9" s="173">
        <f t="shared" ref="BK9:BK40" si="6">IF(BG9&gt;BJ9,BJ9-BG9,0)</f>
        <v>-3.8386042712101692E-2</v>
      </c>
      <c r="BL9" s="175">
        <f t="shared" ref="BL9:BL40" si="7">BK9*BE9</f>
        <v>-112.26279863481209</v>
      </c>
      <c r="BM9" s="165">
        <f>BL9*SUM('TABLE 4 - October 2016 Dataset'!F9:H9)</f>
        <v>-32892.999999999942</v>
      </c>
      <c r="BN9" s="94">
        <f t="shared" ref="BN9:BN40" si="8">BB9+BM9</f>
        <v>1021647</v>
      </c>
      <c r="BO9" s="103"/>
      <c r="BP9" s="179">
        <f t="shared" ref="BP9:BP40" si="9">BN9-SUM(AH9:AJ9)</f>
        <v>992607</v>
      </c>
      <c r="BQ9" s="175">
        <f>BP9/SUM('TABLE 4 - October 2016 Dataset'!F9:H9)</f>
        <v>3387.7372013651875</v>
      </c>
      <c r="BR9" s="175">
        <f>IF(BQ9&lt;BR$76,BR$76-BQ9,0)</f>
        <v>112.2627986348125</v>
      </c>
      <c r="BS9" s="175">
        <f>BR9*SUM('TABLE 4 - October 2016 Dataset'!F9:H9)</f>
        <v>32893.000000000058</v>
      </c>
      <c r="BT9" s="94">
        <f>BN9+BS9</f>
        <v>1054540</v>
      </c>
      <c r="BU9" s="103"/>
      <c r="BV9" s="80">
        <f>N9</f>
        <v>951775.52262444759</v>
      </c>
      <c r="BW9" s="122">
        <f>BV9/I9</f>
        <v>3248.3806232916299</v>
      </c>
      <c r="BX9" s="264">
        <f>BT9</f>
        <v>1054540</v>
      </c>
      <c r="BY9" s="81">
        <f>BX9/SUM('TABLE 4 - October 2016 Dataset'!F9:H9)</f>
        <v>3599.1126279863483</v>
      </c>
      <c r="BZ9" s="264">
        <f>BX9-BV9</f>
        <v>102764.47737555241</v>
      </c>
      <c r="CA9" s="81">
        <f>BY9-BW9</f>
        <v>350.7320046947184</v>
      </c>
      <c r="CB9" s="269">
        <f>CA9/BW9</f>
        <v>0.10797133875873102</v>
      </c>
      <c r="CC9" s="103"/>
      <c r="CD9" s="80">
        <f>'TABLE 5 - DfE Published Figures'!O8</f>
        <v>1055000</v>
      </c>
      <c r="CE9" s="84">
        <f>ROUND(BT9,-3)-CD9</f>
        <v>0</v>
      </c>
      <c r="CF9" s="81"/>
      <c r="CG9" s="81"/>
      <c r="CH9" s="81"/>
      <c r="CI9" s="81"/>
      <c r="CJ9" s="2"/>
    </row>
    <row r="10" spans="2:88" ht="15.75">
      <c r="B10" s="198">
        <v>3229</v>
      </c>
      <c r="C10" s="60" t="s">
        <v>11</v>
      </c>
      <c r="D10" s="204"/>
      <c r="F10" s="80">
        <v>248</v>
      </c>
      <c r="G10" s="163"/>
      <c r="H10" s="164">
        <v>0</v>
      </c>
      <c r="I10" s="94">
        <f t="shared" si="0"/>
        <v>248</v>
      </c>
      <c r="J10" s="103"/>
      <c r="K10" s="80">
        <v>837362.4617910987</v>
      </c>
      <c r="L10" s="163"/>
      <c r="M10" s="163"/>
      <c r="N10" s="94">
        <f t="shared" si="1"/>
        <v>837362.4617910987</v>
      </c>
      <c r="O10" s="103"/>
      <c r="P10" s="80">
        <f>P$76*'TABLE 4 - October 2016 Dataset'!F10</f>
        <v>681253.5199999999</v>
      </c>
      <c r="Q10" s="160"/>
      <c r="R10" s="161"/>
      <c r="S10" s="162">
        <f t="shared" ref="S10:S58" si="10">SUM(P10:R10)</f>
        <v>681253.5199999999</v>
      </c>
      <c r="T10" s="165">
        <f>T$76*'TABLE 4 - October 2016 Dataset'!I10</f>
        <v>3519.9999999999959</v>
      </c>
      <c r="U10" s="165">
        <f>U$76*'TABLE 4 - October 2016 Dataset'!J10</f>
        <v>9180</v>
      </c>
      <c r="V10" s="165">
        <f>V$76*'TABLE 4 - October 2016 Dataset'!K10</f>
        <v>0</v>
      </c>
      <c r="W10" s="165">
        <f>W$76*'TABLE 4 - October 2016 Dataset'!L10</f>
        <v>0</v>
      </c>
      <c r="X10" s="165">
        <f>X$76*'TABLE 4 - October 2016 Dataset'!M10</f>
        <v>783.15789473684174</v>
      </c>
      <c r="Y10" s="165">
        <f>Y$76*'TABLE 4 - October 2016 Dataset'!N10</f>
        <v>0</v>
      </c>
      <c r="Z10" s="165">
        <f>Z$76*'TABLE 4 - October 2016 Dataset'!O10</f>
        <v>0</v>
      </c>
      <c r="AA10" s="165">
        <f>AA$76*'TABLE 4 - October 2016 Dataset'!P10</f>
        <v>200.80971659919041</v>
      </c>
      <c r="AB10" s="162">
        <f t="shared" ref="AB10:AB58" si="11">SUM(T10:AA10)</f>
        <v>13683.967611336029</v>
      </c>
      <c r="AC10" s="140">
        <f>AC$76*'TABLE 4 - October 2016 Dataset'!Q10</f>
        <v>72520.83958020994</v>
      </c>
      <c r="AD10" s="140">
        <f>AD$76*'TABLE 4 - October 2016 Dataset'!R10</f>
        <v>0</v>
      </c>
      <c r="AE10" s="140">
        <f>AE$76*'TABLE 4 - October 2016 Dataset'!S10</f>
        <v>0</v>
      </c>
      <c r="AF10" s="140">
        <f t="shared" ref="AF10:AF58" si="12">AF$76</f>
        <v>110000</v>
      </c>
      <c r="AG10" s="140">
        <f>IF('TABLE 4 - October 2016 Dataset'!X10="No",0,"*CHECK*")</f>
        <v>0</v>
      </c>
      <c r="AH10" s="140">
        <f>'TABLE 4 - October 2016 Dataset'!Y10</f>
        <v>12225.55</v>
      </c>
      <c r="AI10" s="170">
        <f>IF('TABLE 4 - October 2016 Dataset'!Z10&gt;0,('TABLE 4 - October 2016 Dataset'!Z10*(1+'TABLE 1 - 2018-19 Provisional'!AI$79)*(1+AI$79))-((AI$76*SUM('TABLE 4 - October 2016 Dataset'!F10:H10))+AI$77),0)</f>
        <v>0</v>
      </c>
      <c r="AJ10" s="166" t="str">
        <f>IF('TABLE 4 - October 2016 Dataset'!AA10="Yes",'TABLE 2 - 2019-20 Illustrative'!AJ$76*SUM('TABLE 4 - October 2016 Dataset'!F10:H10),"")</f>
        <v/>
      </c>
      <c r="AK10" s="140">
        <f t="shared" ref="AK10:AK58" si="13">AK$76*SUM(S10,AB10:AJ10)</f>
        <v>0</v>
      </c>
      <c r="AL10" s="94">
        <f t="shared" ref="AL10:AL58" si="14">SUM(S10,AB10:AK10)</f>
        <v>889683.87719154591</v>
      </c>
      <c r="AM10" s="103"/>
      <c r="AN10" s="80">
        <f t="shared" si="2"/>
        <v>877458.32719154586</v>
      </c>
      <c r="AO10" s="165">
        <f>AN10/SUM('TABLE 4 - October 2016 Dataset'!F10:H10)</f>
        <v>3538.1384160949428</v>
      </c>
      <c r="AP10" s="165">
        <f t="shared" si="3"/>
        <v>0</v>
      </c>
      <c r="AQ10" s="165">
        <f>AP10*SUM('TABLE 4 - October 2016 Dataset'!F10:H10)</f>
        <v>0</v>
      </c>
      <c r="AR10" s="94">
        <f t="shared" ref="AR10:AR58" si="15">AL10+AQ10</f>
        <v>889683.87719154591</v>
      </c>
      <c r="AS10" s="103"/>
      <c r="AT10" s="80">
        <f>N10-(AF10+AG10+'TABLE 4 - October 2016 Dataset'!Y10)</f>
        <v>715136.91179109865</v>
      </c>
      <c r="AU10" s="187">
        <f t="shared" ref="AU10:AU58" si="16">AR10-(AF10+AG10+AH10)</f>
        <v>767458.32719154586</v>
      </c>
      <c r="AV10" s="165">
        <f t="shared" ref="AV10:AV58" si="17">AT10/I10</f>
        <v>2883.6165798028173</v>
      </c>
      <c r="AW10" s="165">
        <f>AU10/SUM('TABLE 4 - October 2016 Dataset'!F10:H10)</f>
        <v>3094.5900289981687</v>
      </c>
      <c r="AX10" s="173">
        <f t="shared" ref="AX10:AX58" si="18">(AW10/AV10)-1</f>
        <v>7.3162795176388462E-2</v>
      </c>
      <c r="AY10" s="173">
        <f t="shared" ref="AY10:AY58" si="19">IF(AX10&lt;AY$76,AY$76-AX10,0)</f>
        <v>0</v>
      </c>
      <c r="AZ10" s="175">
        <f t="shared" ref="AZ10:AZ58" si="20">AY10*AV10</f>
        <v>0</v>
      </c>
      <c r="BA10" s="165">
        <f t="shared" ref="BA10:BA58" si="21">AZ10*I10</f>
        <v>0</v>
      </c>
      <c r="BB10" s="94">
        <f t="shared" ref="BB10:BB58" si="22">AR10+BA10</f>
        <v>889683.87719154591</v>
      </c>
      <c r="BC10" s="103"/>
      <c r="BD10" s="184">
        <f>'TABLE 1 - 2018-19 Provisional'!BR10-('TABLE 2 - 2019-20 Illustrative'!AF10+'TABLE 2 - 2019-20 Illustrative'!AG10+'TABLE 1 - 2018-19 Provisional'!AH10)</f>
        <v>736591.01914483169</v>
      </c>
      <c r="BE10" s="165">
        <f>BD10/SUM('TABLE 4 - October 2016 Dataset'!F10:H10)</f>
        <v>2970.1250771969021</v>
      </c>
      <c r="BF10" s="173">
        <f t="shared" ref="BF10:BF58" si="23">(BE10/AV10)-1</f>
        <v>3.0000000000000027E-2</v>
      </c>
      <c r="BG10" s="173">
        <f t="shared" ref="BG10:BG58" si="24">(AW10/BE10)-1</f>
        <v>4.1905626384843186E-2</v>
      </c>
      <c r="BH10" s="173">
        <f>'TABLE 1 - 2018-19 Provisional'!BF10</f>
        <v>7.3162795176388462E-2</v>
      </c>
      <c r="BI10" s="185">
        <f t="shared" si="4"/>
        <v>8.3811252769686369E-3</v>
      </c>
      <c r="BJ10" s="185">
        <f t="shared" si="5"/>
        <v>0.03</v>
      </c>
      <c r="BK10" s="173">
        <f t="shared" si="6"/>
        <v>-1.1905626384843188E-2</v>
      </c>
      <c r="BL10" s="175">
        <f t="shared" si="7"/>
        <v>-35.361199485359847</v>
      </c>
      <c r="BM10" s="165">
        <f>BL10*SUM('TABLE 4 - October 2016 Dataset'!F10:H10)</f>
        <v>-8769.577472369243</v>
      </c>
      <c r="BN10" s="94">
        <f t="shared" si="8"/>
        <v>880914.29971917672</v>
      </c>
      <c r="BO10" s="103"/>
      <c r="BP10" s="179">
        <f t="shared" si="9"/>
        <v>868688.74971917667</v>
      </c>
      <c r="BQ10" s="175">
        <f>BP10/SUM('TABLE 4 - October 2016 Dataset'!F10:H10)</f>
        <v>3502.7772166095833</v>
      </c>
      <c r="BR10" s="175">
        <f t="shared" ref="BR10:BR60" si="25">IF(BQ10&lt;BR$76,BR$76-BQ10,0)</f>
        <v>0</v>
      </c>
      <c r="BS10" s="175">
        <f>BR10*SUM('TABLE 4 - October 2016 Dataset'!F10:H10)</f>
        <v>0</v>
      </c>
      <c r="BT10" s="94">
        <f t="shared" ref="BT10:BT58" si="26">BN10+BS10</f>
        <v>880914.29971917672</v>
      </c>
      <c r="BU10" s="103"/>
      <c r="BV10" s="80">
        <f t="shared" ref="BV10:BV58" si="27">N10</f>
        <v>837362.4617910987</v>
      </c>
      <c r="BW10" s="122">
        <f t="shared" ref="BW10:BW60" si="28">BV10/I10</f>
        <v>3376.4615394802368</v>
      </c>
      <c r="BX10" s="264">
        <f t="shared" ref="BX10:BX58" si="29">BT10</f>
        <v>880914.29971917672</v>
      </c>
      <c r="BY10" s="81">
        <f>BX10/SUM('TABLE 4 - October 2016 Dataset'!F10:H10)</f>
        <v>3552.0737891902286</v>
      </c>
      <c r="BZ10" s="264">
        <f t="shared" ref="BZ10:BZ58" si="30">BX10-BV10</f>
        <v>43551.837928078021</v>
      </c>
      <c r="CA10" s="81">
        <f t="shared" ref="CA10:CA58" si="31">BY10-BW10</f>
        <v>175.61224970999183</v>
      </c>
      <c r="CB10" s="269">
        <f t="shared" ref="CB10:CB60" si="32">CA10/BW10</f>
        <v>5.2010735989910045E-2</v>
      </c>
      <c r="CC10" s="103"/>
      <c r="CD10" s="80">
        <f>'TABLE 5 - DfE Published Figures'!O9</f>
        <v>880000</v>
      </c>
      <c r="CE10" s="84">
        <f t="shared" ref="CE10:CE58" si="33">ROUND(BT10,-3)-CD10</f>
        <v>1000</v>
      </c>
      <c r="CF10" s="81"/>
      <c r="CG10" s="81"/>
      <c r="CH10" s="81"/>
      <c r="CI10" s="81"/>
      <c r="CJ10" s="2"/>
    </row>
    <row r="11" spans="2:88" ht="15.75">
      <c r="B11" s="198">
        <v>2431</v>
      </c>
      <c r="C11" s="60" t="s">
        <v>13</v>
      </c>
      <c r="D11" s="204" t="s">
        <v>70</v>
      </c>
      <c r="F11" s="80">
        <v>195</v>
      </c>
      <c r="G11" s="163"/>
      <c r="H11" s="164">
        <v>-1</v>
      </c>
      <c r="I11" s="94">
        <f t="shared" si="0"/>
        <v>194</v>
      </c>
      <c r="J11" s="103"/>
      <c r="K11" s="80">
        <v>724227.27044204972</v>
      </c>
      <c r="L11" s="163"/>
      <c r="M11" s="163"/>
      <c r="N11" s="94">
        <f t="shared" si="1"/>
        <v>724227.27044204972</v>
      </c>
      <c r="O11" s="103"/>
      <c r="P11" s="80">
        <f>P$76*'TABLE 4 - October 2016 Dataset'!F11</f>
        <v>532916.05999999994</v>
      </c>
      <c r="Q11" s="160"/>
      <c r="R11" s="161"/>
      <c r="S11" s="162">
        <f t="shared" si="10"/>
        <v>532916.05999999994</v>
      </c>
      <c r="T11" s="165">
        <f>T$76*'TABLE 4 - October 2016 Dataset'!I11</f>
        <v>10999.999999999975</v>
      </c>
      <c r="U11" s="165">
        <f>U$76*'TABLE 4 - October 2016 Dataset'!J11</f>
        <v>17728.615384615387</v>
      </c>
      <c r="V11" s="165">
        <f>V$76*'TABLE 4 - October 2016 Dataset'!K11</f>
        <v>0</v>
      </c>
      <c r="W11" s="165">
        <f>W$76*'TABLE 4 - October 2016 Dataset'!L11</f>
        <v>2955.2331606217645</v>
      </c>
      <c r="X11" s="165">
        <f>X$76*'TABLE 4 - October 2016 Dataset'!M11</f>
        <v>0</v>
      </c>
      <c r="Y11" s="165">
        <f>Y$76*'TABLE 4 - October 2016 Dataset'!N11</f>
        <v>361.86528497409341</v>
      </c>
      <c r="Z11" s="165">
        <f>Z$76*'TABLE 4 - October 2016 Dataset'!O11</f>
        <v>482.48704663212277</v>
      </c>
      <c r="AA11" s="165">
        <f>AA$76*'TABLE 4 - October 2016 Dataset'!P11</f>
        <v>11660.103626943008</v>
      </c>
      <c r="AB11" s="162">
        <f t="shared" si="11"/>
        <v>44188.304503786349</v>
      </c>
      <c r="AC11" s="140">
        <f>AC$76*'TABLE 4 - October 2016 Dataset'!Q11</f>
        <v>54826.234854728114</v>
      </c>
      <c r="AD11" s="140">
        <f>AD$76*'TABLE 4 - October 2016 Dataset'!R11</f>
        <v>12414.852071005938</v>
      </c>
      <c r="AE11" s="140">
        <f>AE$76*'TABLE 4 - October 2016 Dataset'!S11</f>
        <v>4692.5999999999949</v>
      </c>
      <c r="AF11" s="140">
        <f t="shared" si="12"/>
        <v>110000</v>
      </c>
      <c r="AG11" s="140">
        <f>IF('TABLE 4 - October 2016 Dataset'!X11="No",0,"*CHECK*")</f>
        <v>0</v>
      </c>
      <c r="AH11" s="140">
        <f>'TABLE 4 - October 2016 Dataset'!Y11</f>
        <v>2103.9299999999998</v>
      </c>
      <c r="AI11" s="170">
        <f>IF('TABLE 4 - October 2016 Dataset'!Z11&gt;0,('TABLE 4 - October 2016 Dataset'!Z11*(1+'TABLE 1 - 2018-19 Provisional'!AI$79)*(1+AI$79))-((AI$76*SUM('TABLE 4 - October 2016 Dataset'!F11:H11))+AI$77),0)</f>
        <v>0</v>
      </c>
      <c r="AJ11" s="166" t="str">
        <f>IF('TABLE 4 - October 2016 Dataset'!AA11="Yes",'TABLE 2 - 2019-20 Illustrative'!AJ$76*SUM('TABLE 4 - October 2016 Dataset'!F11:H11),"")</f>
        <v/>
      </c>
      <c r="AK11" s="140">
        <f t="shared" si="13"/>
        <v>0</v>
      </c>
      <c r="AL11" s="94">
        <f t="shared" si="14"/>
        <v>761141.98142952041</v>
      </c>
      <c r="AM11" s="103"/>
      <c r="AN11" s="80">
        <f t="shared" si="2"/>
        <v>759038.05142952036</v>
      </c>
      <c r="AO11" s="165">
        <f>AN11/SUM('TABLE 4 - October 2016 Dataset'!F11:H11)</f>
        <v>3912.5672754098987</v>
      </c>
      <c r="AP11" s="165">
        <f t="shared" si="3"/>
        <v>0</v>
      </c>
      <c r="AQ11" s="165">
        <f>AP11*SUM('TABLE 4 - October 2016 Dataset'!F11:H11)</f>
        <v>0</v>
      </c>
      <c r="AR11" s="94">
        <f t="shared" si="15"/>
        <v>761141.98142952041</v>
      </c>
      <c r="AS11" s="103"/>
      <c r="AT11" s="80">
        <f>N11-(AF11+AG11+'TABLE 4 - October 2016 Dataset'!Y11)</f>
        <v>612123.34044204978</v>
      </c>
      <c r="AU11" s="187">
        <f t="shared" si="16"/>
        <v>649038.05142952036</v>
      </c>
      <c r="AV11" s="165">
        <f t="shared" si="17"/>
        <v>3155.2749507322155</v>
      </c>
      <c r="AW11" s="165">
        <f>AU11/SUM('TABLE 4 - October 2016 Dataset'!F11:H11)</f>
        <v>3345.5569661315481</v>
      </c>
      <c r="AX11" s="173">
        <f t="shared" si="18"/>
        <v>6.0306001337593562E-2</v>
      </c>
      <c r="AY11" s="173">
        <f t="shared" si="19"/>
        <v>0</v>
      </c>
      <c r="AZ11" s="175">
        <f t="shared" si="20"/>
        <v>0</v>
      </c>
      <c r="BA11" s="165">
        <f t="shared" si="21"/>
        <v>0</v>
      </c>
      <c r="BB11" s="94">
        <f t="shared" si="22"/>
        <v>761141.98142952041</v>
      </c>
      <c r="BC11" s="103"/>
      <c r="BD11" s="184">
        <f>'TABLE 1 - 2018-19 Provisional'!BR11-('TABLE 2 - 2019-20 Illustrative'!AF11+'TABLE 2 - 2019-20 Illustrative'!AG11+'TABLE 1 - 2018-19 Provisional'!AH11)</f>
        <v>630487.04065531143</v>
      </c>
      <c r="BE11" s="165">
        <f>BD11/SUM('TABLE 4 - October 2016 Dataset'!F11:H11)</f>
        <v>3249.9331992541825</v>
      </c>
      <c r="BF11" s="173">
        <f t="shared" si="23"/>
        <v>3.0000000000000249E-2</v>
      </c>
      <c r="BG11" s="173">
        <f t="shared" si="24"/>
        <v>2.9423302269508289E-2</v>
      </c>
      <c r="BH11" s="173">
        <f>'TABLE 1 - 2018-19 Provisional'!BF11</f>
        <v>6.0306001337593562E-2</v>
      </c>
      <c r="BI11" s="185">
        <f t="shared" si="4"/>
        <v>5.8846604539016583E-3</v>
      </c>
      <c r="BJ11" s="185">
        <f t="shared" si="5"/>
        <v>2.9423302269508289E-2</v>
      </c>
      <c r="BK11" s="173">
        <f t="shared" si="6"/>
        <v>0</v>
      </c>
      <c r="BL11" s="175">
        <f t="shared" si="7"/>
        <v>0</v>
      </c>
      <c r="BM11" s="165">
        <f>BL11*SUM('TABLE 4 - October 2016 Dataset'!F11:H11)</f>
        <v>0</v>
      </c>
      <c r="BN11" s="94">
        <f t="shared" si="8"/>
        <v>761141.98142952041</v>
      </c>
      <c r="BO11" s="103"/>
      <c r="BP11" s="179">
        <f t="shared" si="9"/>
        <v>759038.05142952036</v>
      </c>
      <c r="BQ11" s="175">
        <f>BP11/SUM('TABLE 4 - October 2016 Dataset'!F11:H11)</f>
        <v>3912.5672754098987</v>
      </c>
      <c r="BR11" s="175">
        <f t="shared" si="25"/>
        <v>0</v>
      </c>
      <c r="BS11" s="175">
        <f>BR11*SUM('TABLE 4 - October 2016 Dataset'!F11:H11)</f>
        <v>0</v>
      </c>
      <c r="BT11" s="94">
        <f t="shared" si="26"/>
        <v>761141.98142952041</v>
      </c>
      <c r="BU11" s="103"/>
      <c r="BV11" s="80">
        <f t="shared" si="27"/>
        <v>724227.27044204972</v>
      </c>
      <c r="BW11" s="122">
        <f t="shared" si="28"/>
        <v>3733.1302600105655</v>
      </c>
      <c r="BX11" s="264">
        <f t="shared" si="29"/>
        <v>761141.98142952041</v>
      </c>
      <c r="BY11" s="81">
        <f>BX11/SUM('TABLE 4 - October 2016 Dataset'!F11:H11)</f>
        <v>3923.4122754098989</v>
      </c>
      <c r="BZ11" s="264">
        <f t="shared" si="30"/>
        <v>36914.710987470695</v>
      </c>
      <c r="CA11" s="81">
        <f t="shared" si="31"/>
        <v>190.28201539933343</v>
      </c>
      <c r="CB11" s="269">
        <f t="shared" si="32"/>
        <v>5.0971169540383221E-2</v>
      </c>
      <c r="CC11" s="103"/>
      <c r="CD11" s="80">
        <f>'TABLE 5 - DfE Published Figures'!O10</f>
        <v>759000</v>
      </c>
      <c r="CE11" s="84">
        <f t="shared" si="33"/>
        <v>2000</v>
      </c>
      <c r="CF11" s="81"/>
      <c r="CG11" s="81"/>
      <c r="CH11" s="81"/>
      <c r="CI11" s="81"/>
      <c r="CJ11" s="2"/>
    </row>
    <row r="12" spans="2:88" ht="15.75">
      <c r="B12" s="198">
        <v>2386</v>
      </c>
      <c r="C12" s="60" t="s">
        <v>18</v>
      </c>
      <c r="D12" s="204"/>
      <c r="F12" s="80">
        <v>172</v>
      </c>
      <c r="G12" s="163"/>
      <c r="H12" s="164">
        <v>-1</v>
      </c>
      <c r="I12" s="94">
        <f t="shared" si="0"/>
        <v>171</v>
      </c>
      <c r="J12" s="103"/>
      <c r="K12" s="80">
        <v>604274.56318744505</v>
      </c>
      <c r="L12" s="163"/>
      <c r="M12" s="163"/>
      <c r="N12" s="94">
        <f t="shared" si="1"/>
        <v>604274.56318744505</v>
      </c>
      <c r="O12" s="103"/>
      <c r="P12" s="80">
        <f>P$76*'TABLE 4 - October 2016 Dataset'!F12</f>
        <v>469735.29</v>
      </c>
      <c r="Q12" s="160"/>
      <c r="R12" s="161"/>
      <c r="S12" s="162">
        <f t="shared" si="10"/>
        <v>469735.29</v>
      </c>
      <c r="T12" s="165">
        <f>T$76*'TABLE 4 - October 2016 Dataset'!I12</f>
        <v>1319.9999999999993</v>
      </c>
      <c r="U12" s="165">
        <f>U$76*'TABLE 4 - October 2016 Dataset'!J12</f>
        <v>3101.0403190075303</v>
      </c>
      <c r="V12" s="165">
        <f>V$76*'TABLE 4 - October 2016 Dataset'!K12</f>
        <v>0</v>
      </c>
      <c r="W12" s="165">
        <f>W$76*'TABLE 4 - October 2016 Dataset'!L12</f>
        <v>0</v>
      </c>
      <c r="X12" s="165">
        <f>X$76*'TABLE 4 - October 2016 Dataset'!M12</f>
        <v>0</v>
      </c>
      <c r="Y12" s="165">
        <f>Y$76*'TABLE 4 - October 2016 Dataset'!N12</f>
        <v>0</v>
      </c>
      <c r="Z12" s="165">
        <f>Z$76*'TABLE 4 - October 2016 Dataset'!O12</f>
        <v>0</v>
      </c>
      <c r="AA12" s="165">
        <f>AA$76*'TABLE 4 - October 2016 Dataset'!P12</f>
        <v>399.99999999999869</v>
      </c>
      <c r="AB12" s="162">
        <f t="shared" si="11"/>
        <v>4821.0403190075285</v>
      </c>
      <c r="AC12" s="140">
        <f>AC$76*'TABLE 4 - October 2016 Dataset'!Q12</f>
        <v>35910</v>
      </c>
      <c r="AD12" s="140">
        <f>AD$76*'TABLE 4 - October 2016 Dataset'!R12</f>
        <v>2773.7007874015758</v>
      </c>
      <c r="AE12" s="140">
        <f>AE$76*'TABLE 4 - October 2016 Dataset'!S12</f>
        <v>0</v>
      </c>
      <c r="AF12" s="140">
        <f t="shared" si="12"/>
        <v>110000</v>
      </c>
      <c r="AG12" s="140">
        <f>IF('TABLE 4 - October 2016 Dataset'!X12="No",0,"*CHECK*")</f>
        <v>0</v>
      </c>
      <c r="AH12" s="140">
        <f>'TABLE 4 - October 2016 Dataset'!Y12</f>
        <v>9524.5499999999993</v>
      </c>
      <c r="AI12" s="170">
        <f>IF('TABLE 4 - October 2016 Dataset'!Z12&gt;0,('TABLE 4 - October 2016 Dataset'!Z12*(1+'TABLE 1 - 2018-19 Provisional'!AI$79)*(1+AI$79))-((AI$76*SUM('TABLE 4 - October 2016 Dataset'!F12:H12))+AI$77),0)</f>
        <v>0</v>
      </c>
      <c r="AJ12" s="166" t="str">
        <f>IF('TABLE 4 - October 2016 Dataset'!AA12="Yes",'TABLE 2 - 2019-20 Illustrative'!AJ$76*SUM('TABLE 4 - October 2016 Dataset'!F12:H12),"")</f>
        <v/>
      </c>
      <c r="AK12" s="140">
        <f t="shared" si="13"/>
        <v>0</v>
      </c>
      <c r="AL12" s="94">
        <f t="shared" si="14"/>
        <v>632764.5811064092</v>
      </c>
      <c r="AM12" s="103"/>
      <c r="AN12" s="80">
        <f t="shared" si="2"/>
        <v>623240.03110640915</v>
      </c>
      <c r="AO12" s="165">
        <f>AN12/SUM('TABLE 4 - October 2016 Dataset'!F12:H12)</f>
        <v>3644.6785444819247</v>
      </c>
      <c r="AP12" s="165">
        <f t="shared" si="3"/>
        <v>0</v>
      </c>
      <c r="AQ12" s="165">
        <f>AP12*SUM('TABLE 4 - October 2016 Dataset'!F12:H12)</f>
        <v>0</v>
      </c>
      <c r="AR12" s="94">
        <f t="shared" si="15"/>
        <v>632764.5811064092</v>
      </c>
      <c r="AS12" s="103"/>
      <c r="AT12" s="80">
        <f>N12-(AF12+AG12+'TABLE 4 - October 2016 Dataset'!Y12)</f>
        <v>484750.01318744506</v>
      </c>
      <c r="AU12" s="187">
        <f t="shared" si="16"/>
        <v>513240.03110640921</v>
      </c>
      <c r="AV12" s="165">
        <f t="shared" si="17"/>
        <v>2834.7953987569886</v>
      </c>
      <c r="AW12" s="165">
        <f>AU12/SUM('TABLE 4 - October 2016 Dataset'!F12:H12)</f>
        <v>3001.4036906807555</v>
      </c>
      <c r="AX12" s="173">
        <f t="shared" si="18"/>
        <v>5.8772598543380683E-2</v>
      </c>
      <c r="AY12" s="173">
        <f t="shared" si="19"/>
        <v>0</v>
      </c>
      <c r="AZ12" s="175">
        <f t="shared" si="20"/>
        <v>0</v>
      </c>
      <c r="BA12" s="165">
        <f t="shared" si="21"/>
        <v>0</v>
      </c>
      <c r="BB12" s="94">
        <f t="shared" si="22"/>
        <v>632764.5811064092</v>
      </c>
      <c r="BC12" s="103"/>
      <c r="BD12" s="184">
        <f>'TABLE 1 - 2018-19 Provisional'!BR12-('TABLE 2 - 2019-20 Illustrative'!AF12+'TABLE 2 - 2019-20 Illustrative'!AG12+'TABLE 1 - 2018-19 Provisional'!AH12)</f>
        <v>499292.51358306833</v>
      </c>
      <c r="BE12" s="165">
        <f>BD12/SUM('TABLE 4 - October 2016 Dataset'!F12:H12)</f>
        <v>2919.8392607196979</v>
      </c>
      <c r="BF12" s="173">
        <f t="shared" si="23"/>
        <v>2.9999999999999805E-2</v>
      </c>
      <c r="BG12" s="173">
        <f t="shared" si="24"/>
        <v>2.7934561692602555E-2</v>
      </c>
      <c r="BH12" s="173">
        <f>'TABLE 1 - 2018-19 Provisional'!BF12</f>
        <v>5.8772598543380683E-2</v>
      </c>
      <c r="BI12" s="185">
        <f t="shared" si="4"/>
        <v>5.5869123385205114E-3</v>
      </c>
      <c r="BJ12" s="185">
        <f t="shared" si="5"/>
        <v>2.7934561692602555E-2</v>
      </c>
      <c r="BK12" s="173">
        <f t="shared" si="6"/>
        <v>0</v>
      </c>
      <c r="BL12" s="175">
        <f t="shared" si="7"/>
        <v>0</v>
      </c>
      <c r="BM12" s="165">
        <f>BL12*SUM('TABLE 4 - October 2016 Dataset'!F12:H12)</f>
        <v>0</v>
      </c>
      <c r="BN12" s="94">
        <f t="shared" si="8"/>
        <v>632764.5811064092</v>
      </c>
      <c r="BO12" s="103"/>
      <c r="BP12" s="179">
        <f t="shared" si="9"/>
        <v>623240.03110640915</v>
      </c>
      <c r="BQ12" s="175">
        <f>BP12/SUM('TABLE 4 - October 2016 Dataset'!F12:H12)</f>
        <v>3644.6785444819247</v>
      </c>
      <c r="BR12" s="175">
        <f t="shared" si="25"/>
        <v>0</v>
      </c>
      <c r="BS12" s="175">
        <f>BR12*SUM('TABLE 4 - October 2016 Dataset'!F12:H12)</f>
        <v>0</v>
      </c>
      <c r="BT12" s="94">
        <f t="shared" si="26"/>
        <v>632764.5811064092</v>
      </c>
      <c r="BU12" s="103"/>
      <c r="BV12" s="80">
        <f t="shared" si="27"/>
        <v>604274.56318744505</v>
      </c>
      <c r="BW12" s="122">
        <f t="shared" si="28"/>
        <v>3533.7693753651756</v>
      </c>
      <c r="BX12" s="264">
        <f t="shared" si="29"/>
        <v>632764.5811064092</v>
      </c>
      <c r="BY12" s="81">
        <f>BX12/SUM('TABLE 4 - October 2016 Dataset'!F12:H12)</f>
        <v>3700.3776672889426</v>
      </c>
      <c r="BZ12" s="264">
        <f t="shared" si="30"/>
        <v>28490.017918964149</v>
      </c>
      <c r="CA12" s="81">
        <f t="shared" si="31"/>
        <v>166.60829192376696</v>
      </c>
      <c r="CB12" s="269">
        <f t="shared" si="32"/>
        <v>4.7147471786143327E-2</v>
      </c>
      <c r="CC12" s="103"/>
      <c r="CD12" s="80">
        <f>'TABLE 5 - DfE Published Figures'!O11</f>
        <v>629000</v>
      </c>
      <c r="CE12" s="84">
        <f t="shared" si="33"/>
        <v>4000</v>
      </c>
      <c r="CF12" s="81"/>
      <c r="CG12" s="81"/>
      <c r="CH12" s="81"/>
      <c r="CI12" s="81"/>
      <c r="CJ12" s="2"/>
    </row>
    <row r="13" spans="2:88" ht="15.75">
      <c r="B13" s="198">
        <v>2024</v>
      </c>
      <c r="C13" s="60" t="s">
        <v>19</v>
      </c>
      <c r="D13" s="204" t="s">
        <v>71</v>
      </c>
      <c r="F13" s="80">
        <v>160</v>
      </c>
      <c r="G13" s="163"/>
      <c r="H13" s="164">
        <v>0</v>
      </c>
      <c r="I13" s="94">
        <f t="shared" si="0"/>
        <v>160</v>
      </c>
      <c r="J13" s="103"/>
      <c r="K13" s="80">
        <v>711734.16529969336</v>
      </c>
      <c r="L13" s="163"/>
      <c r="M13" s="163"/>
      <c r="N13" s="94">
        <f t="shared" si="1"/>
        <v>711734.16529969336</v>
      </c>
      <c r="O13" s="103"/>
      <c r="P13" s="80">
        <f>P$76*'TABLE 4 - October 2016 Dataset'!F13</f>
        <v>439518.39999999997</v>
      </c>
      <c r="Q13" s="160"/>
      <c r="R13" s="161"/>
      <c r="S13" s="162">
        <f t="shared" si="10"/>
        <v>439518.39999999997</v>
      </c>
      <c r="T13" s="165">
        <f>T$76*'TABLE 4 - October 2016 Dataset'!I13</f>
        <v>14080</v>
      </c>
      <c r="U13" s="165">
        <f>U$76*'TABLE 4 - October 2016 Dataset'!J13</f>
        <v>40984.615384615383</v>
      </c>
      <c r="V13" s="165">
        <f>V$76*'TABLE 4 - October 2016 Dataset'!K13</f>
        <v>0</v>
      </c>
      <c r="W13" s="165">
        <f>W$76*'TABLE 4 - October 2016 Dataset'!L13</f>
        <v>18900</v>
      </c>
      <c r="X13" s="165">
        <f>X$76*'TABLE 4 - October 2016 Dataset'!M13</f>
        <v>1560</v>
      </c>
      <c r="Y13" s="165">
        <f>Y$76*'TABLE 4 - October 2016 Dataset'!N13</f>
        <v>15120</v>
      </c>
      <c r="Z13" s="165">
        <f>Z$76*'TABLE 4 - October 2016 Dataset'!O13</f>
        <v>0</v>
      </c>
      <c r="AA13" s="165">
        <f>AA$76*'TABLE 4 - October 2016 Dataset'!P13</f>
        <v>11600</v>
      </c>
      <c r="AB13" s="162">
        <f t="shared" si="11"/>
        <v>102244.61538461538</v>
      </c>
      <c r="AC13" s="140">
        <f>AC$76*'TABLE 4 - October 2016 Dataset'!Q13</f>
        <v>70121.292543194199</v>
      </c>
      <c r="AD13" s="140">
        <f>AD$76*'TABLE 4 - October 2016 Dataset'!R13</f>
        <v>6338.4615384615363</v>
      </c>
      <c r="AE13" s="140">
        <f>AE$76*'TABLE 4 - October 2016 Dataset'!S13</f>
        <v>710.99999999999909</v>
      </c>
      <c r="AF13" s="140">
        <f t="shared" si="12"/>
        <v>110000</v>
      </c>
      <c r="AG13" s="140">
        <f>IF('TABLE 4 - October 2016 Dataset'!X13="No",0,"*CHECK*")</f>
        <v>0</v>
      </c>
      <c r="AH13" s="140">
        <f>'TABLE 4 - October 2016 Dataset'!Y13</f>
        <v>4406.88</v>
      </c>
      <c r="AI13" s="170">
        <f>IF('TABLE 4 - October 2016 Dataset'!Z13&gt;0,('TABLE 4 - October 2016 Dataset'!Z13*(1+'TABLE 1 - 2018-19 Provisional'!AI$79)*(1+AI$79))-((AI$76*SUM('TABLE 4 - October 2016 Dataset'!F13:H13))+AI$77),0)</f>
        <v>0</v>
      </c>
      <c r="AJ13" s="166" t="str">
        <f>IF('TABLE 4 - October 2016 Dataset'!AA13="Yes",'TABLE 2 - 2019-20 Illustrative'!AJ$76*SUM('TABLE 4 - October 2016 Dataset'!F13:H13),"")</f>
        <v/>
      </c>
      <c r="AK13" s="140">
        <f t="shared" si="13"/>
        <v>0</v>
      </c>
      <c r="AL13" s="94">
        <f t="shared" si="14"/>
        <v>733340.64946627116</v>
      </c>
      <c r="AM13" s="103"/>
      <c r="AN13" s="80">
        <f t="shared" si="2"/>
        <v>728933.76946627116</v>
      </c>
      <c r="AO13" s="165">
        <f>AN13/SUM('TABLE 4 - October 2016 Dataset'!F13:H13)</f>
        <v>4555.8360591641949</v>
      </c>
      <c r="AP13" s="165">
        <f t="shared" si="3"/>
        <v>0</v>
      </c>
      <c r="AQ13" s="165">
        <f>AP13*SUM('TABLE 4 - October 2016 Dataset'!F13:H13)</f>
        <v>0</v>
      </c>
      <c r="AR13" s="94">
        <f t="shared" si="15"/>
        <v>733340.64946627116</v>
      </c>
      <c r="AS13" s="103"/>
      <c r="AT13" s="80">
        <f>N13-(AF13+AG13+'TABLE 4 - October 2016 Dataset'!Y13)</f>
        <v>597327.28529969335</v>
      </c>
      <c r="AU13" s="187">
        <f t="shared" si="16"/>
        <v>618933.76946627116</v>
      </c>
      <c r="AV13" s="165">
        <f t="shared" si="17"/>
        <v>3733.2955331230833</v>
      </c>
      <c r="AW13" s="165">
        <f>AU13/SUM('TABLE 4 - October 2016 Dataset'!F13:H13)</f>
        <v>3868.3360591641949</v>
      </c>
      <c r="AX13" s="173">
        <f t="shared" si="18"/>
        <v>3.6171935718184001E-2</v>
      </c>
      <c r="AY13" s="173">
        <f t="shared" si="19"/>
        <v>0</v>
      </c>
      <c r="AZ13" s="175">
        <f t="shared" si="20"/>
        <v>0</v>
      </c>
      <c r="BA13" s="165">
        <f t="shared" si="21"/>
        <v>0</v>
      </c>
      <c r="BB13" s="94">
        <f t="shared" si="22"/>
        <v>733340.64946627116</v>
      </c>
      <c r="BC13" s="103"/>
      <c r="BD13" s="184">
        <f>'TABLE 1 - 2018-19 Provisional'!BR13-('TABLE 2 - 2019-20 Illustrative'!AF13+'TABLE 2 - 2019-20 Illustrative'!AG13+'TABLE 1 - 2018-19 Provisional'!AH13)</f>
        <v>615247.10385868407</v>
      </c>
      <c r="BE13" s="165">
        <f>BD13/SUM('TABLE 4 - October 2016 Dataset'!F13:H13)</f>
        <v>3845.2943991167754</v>
      </c>
      <c r="BF13" s="173">
        <f t="shared" si="23"/>
        <v>2.9999999999999805E-2</v>
      </c>
      <c r="BG13" s="173">
        <f t="shared" si="24"/>
        <v>5.9921706001786479E-3</v>
      </c>
      <c r="BH13" s="173">
        <f>'TABLE 1 - 2018-19 Provisional'!BF13</f>
        <v>3.6171935718184001E-2</v>
      </c>
      <c r="BI13" s="185">
        <f t="shared" si="4"/>
        <v>1.1984341200357296E-3</v>
      </c>
      <c r="BJ13" s="185">
        <f t="shared" si="5"/>
        <v>5.9921706001786479E-3</v>
      </c>
      <c r="BK13" s="173">
        <f t="shared" si="6"/>
        <v>0</v>
      </c>
      <c r="BL13" s="175">
        <f t="shared" si="7"/>
        <v>0</v>
      </c>
      <c r="BM13" s="165">
        <f>BL13*SUM('TABLE 4 - October 2016 Dataset'!F13:H13)</f>
        <v>0</v>
      </c>
      <c r="BN13" s="94">
        <f t="shared" si="8"/>
        <v>733340.64946627116</v>
      </c>
      <c r="BO13" s="103"/>
      <c r="BP13" s="179">
        <f t="shared" si="9"/>
        <v>728933.76946627116</v>
      </c>
      <c r="BQ13" s="175">
        <f>BP13/SUM('TABLE 4 - October 2016 Dataset'!F13:H13)</f>
        <v>4555.8360591641949</v>
      </c>
      <c r="BR13" s="175">
        <f t="shared" si="25"/>
        <v>0</v>
      </c>
      <c r="BS13" s="175">
        <f>BR13*SUM('TABLE 4 - October 2016 Dataset'!F13:H13)</f>
        <v>0</v>
      </c>
      <c r="BT13" s="94">
        <f t="shared" si="26"/>
        <v>733340.64946627116</v>
      </c>
      <c r="BU13" s="103"/>
      <c r="BV13" s="80">
        <f t="shared" si="27"/>
        <v>711734.16529969336</v>
      </c>
      <c r="BW13" s="122">
        <f t="shared" si="28"/>
        <v>4448.3385331230838</v>
      </c>
      <c r="BX13" s="264">
        <f t="shared" si="29"/>
        <v>733340.64946627116</v>
      </c>
      <c r="BY13" s="81">
        <f>BX13/SUM('TABLE 4 - October 2016 Dataset'!F13:H13)</f>
        <v>4583.3790591641946</v>
      </c>
      <c r="BZ13" s="264">
        <f t="shared" si="30"/>
        <v>21606.484166577808</v>
      </c>
      <c r="CA13" s="81">
        <f t="shared" si="31"/>
        <v>135.04052604111075</v>
      </c>
      <c r="CB13" s="269">
        <f t="shared" si="32"/>
        <v>3.0357520012376772E-2</v>
      </c>
      <c r="CC13" s="103"/>
      <c r="CD13" s="80">
        <f>'TABLE 5 - DfE Published Figures'!O12</f>
        <v>729000</v>
      </c>
      <c r="CE13" s="84">
        <f t="shared" si="33"/>
        <v>4000</v>
      </c>
      <c r="CF13" s="81"/>
      <c r="CG13" s="81"/>
      <c r="CH13" s="81"/>
      <c r="CI13" s="81"/>
      <c r="CJ13" s="2"/>
    </row>
    <row r="14" spans="2:88" ht="15.75">
      <c r="B14" s="198">
        <v>2003</v>
      </c>
      <c r="C14" s="60" t="s">
        <v>20</v>
      </c>
      <c r="D14" s="204"/>
      <c r="F14" s="80">
        <v>250</v>
      </c>
      <c r="G14" s="163"/>
      <c r="H14" s="164">
        <v>0</v>
      </c>
      <c r="I14" s="94">
        <f t="shared" si="0"/>
        <v>250</v>
      </c>
      <c r="J14" s="103"/>
      <c r="K14" s="80">
        <v>914801.89983965154</v>
      </c>
      <c r="L14" s="163"/>
      <c r="M14" s="163"/>
      <c r="N14" s="94">
        <f t="shared" si="1"/>
        <v>914801.89983965154</v>
      </c>
      <c r="O14" s="103"/>
      <c r="P14" s="80">
        <f>P$76*'TABLE 4 - October 2016 Dataset'!F14</f>
        <v>686747.5</v>
      </c>
      <c r="Q14" s="160"/>
      <c r="R14" s="161"/>
      <c r="S14" s="162">
        <f t="shared" si="10"/>
        <v>686747.5</v>
      </c>
      <c r="T14" s="165">
        <f>T$76*'TABLE 4 - October 2016 Dataset'!I14</f>
        <v>11880</v>
      </c>
      <c r="U14" s="165">
        <f>U$76*'TABLE 4 - October 2016 Dataset'!J14</f>
        <v>25418.410041841002</v>
      </c>
      <c r="V14" s="165">
        <f>V$76*'TABLE 4 - October 2016 Dataset'!K14</f>
        <v>0</v>
      </c>
      <c r="W14" s="165">
        <f>W$76*'TABLE 4 - October 2016 Dataset'!L14</f>
        <v>421.68674698795155</v>
      </c>
      <c r="X14" s="165">
        <f>X$76*'TABLE 4 - October 2016 Dataset'!M14</f>
        <v>24277.108433734942</v>
      </c>
      <c r="Y14" s="165">
        <f>Y$76*'TABLE 4 - October 2016 Dataset'!N14</f>
        <v>4337.3493975903657</v>
      </c>
      <c r="Z14" s="165">
        <f>Z$76*'TABLE 4 - October 2016 Dataset'!O14</f>
        <v>0</v>
      </c>
      <c r="AA14" s="165">
        <f>AA$76*'TABLE 4 - October 2016 Dataset'!P14</f>
        <v>1405.6224899598399</v>
      </c>
      <c r="AB14" s="162">
        <f t="shared" si="11"/>
        <v>67740.177110114106</v>
      </c>
      <c r="AC14" s="140">
        <f>AC$76*'TABLE 4 - October 2016 Dataset'!Q14</f>
        <v>77594.339622641623</v>
      </c>
      <c r="AD14" s="140">
        <f>AD$76*'TABLE 4 - October 2016 Dataset'!R14</f>
        <v>5563.2716049382752</v>
      </c>
      <c r="AE14" s="140">
        <f>AE$76*'TABLE 4 - October 2016 Dataset'!S14</f>
        <v>0</v>
      </c>
      <c r="AF14" s="140">
        <f t="shared" si="12"/>
        <v>110000</v>
      </c>
      <c r="AG14" s="140">
        <f>IF('TABLE 4 - October 2016 Dataset'!X14="No",0,"*CHECK*")</f>
        <v>0</v>
      </c>
      <c r="AH14" s="140">
        <f>'TABLE 4 - October 2016 Dataset'!Y14</f>
        <v>10803.97</v>
      </c>
      <c r="AI14" s="170">
        <f>IF('TABLE 4 - October 2016 Dataset'!Z14&gt;0,('TABLE 4 - October 2016 Dataset'!Z14*(1+'TABLE 1 - 2018-19 Provisional'!AI$79)*(1+AI$79))-((AI$76*SUM('TABLE 4 - October 2016 Dataset'!F14:H14))+AI$77),0)</f>
        <v>0</v>
      </c>
      <c r="AJ14" s="166" t="str">
        <f>IF('TABLE 4 - October 2016 Dataset'!AA14="Yes",'TABLE 2 - 2019-20 Illustrative'!AJ$76*SUM('TABLE 4 - October 2016 Dataset'!F14:H14),"")</f>
        <v/>
      </c>
      <c r="AK14" s="140">
        <f t="shared" si="13"/>
        <v>0</v>
      </c>
      <c r="AL14" s="94">
        <f t="shared" si="14"/>
        <v>958449.2583376941</v>
      </c>
      <c r="AM14" s="103"/>
      <c r="AN14" s="80">
        <f t="shared" si="2"/>
        <v>947645.28833769413</v>
      </c>
      <c r="AO14" s="165">
        <f>AN14/SUM('TABLE 4 - October 2016 Dataset'!F14:H14)</f>
        <v>3790.5811533507767</v>
      </c>
      <c r="AP14" s="165">
        <f t="shared" si="3"/>
        <v>0</v>
      </c>
      <c r="AQ14" s="165">
        <f>AP14*SUM('TABLE 4 - October 2016 Dataset'!F14:H14)</f>
        <v>0</v>
      </c>
      <c r="AR14" s="94">
        <f t="shared" si="15"/>
        <v>958449.2583376941</v>
      </c>
      <c r="AS14" s="103"/>
      <c r="AT14" s="80">
        <f>N14-(AF14+AG14+'TABLE 4 - October 2016 Dataset'!Y14)</f>
        <v>793997.92983965157</v>
      </c>
      <c r="AU14" s="187">
        <f t="shared" si="16"/>
        <v>837645.28833769413</v>
      </c>
      <c r="AV14" s="165">
        <f t="shared" si="17"/>
        <v>3175.9917193586061</v>
      </c>
      <c r="AW14" s="165">
        <f>AU14/SUM('TABLE 4 - October 2016 Dataset'!F14:H14)</f>
        <v>3350.5811533507767</v>
      </c>
      <c r="AX14" s="173">
        <f t="shared" si="18"/>
        <v>5.4971627579504245E-2</v>
      </c>
      <c r="AY14" s="173">
        <f t="shared" si="19"/>
        <v>0</v>
      </c>
      <c r="AZ14" s="175">
        <f t="shared" si="20"/>
        <v>0</v>
      </c>
      <c r="BA14" s="165">
        <f t="shared" si="21"/>
        <v>0</v>
      </c>
      <c r="BB14" s="94">
        <f t="shared" si="22"/>
        <v>958449.2583376941</v>
      </c>
      <c r="BC14" s="103"/>
      <c r="BD14" s="184">
        <f>'TABLE 1 - 2018-19 Provisional'!BR14-('TABLE 2 - 2019-20 Illustrative'!AF14+'TABLE 2 - 2019-20 Illustrative'!AG14+'TABLE 1 - 2018-19 Provisional'!AH14)</f>
        <v>817817.86773484107</v>
      </c>
      <c r="BE14" s="165">
        <f>BD14/SUM('TABLE 4 - October 2016 Dataset'!F14:H14)</f>
        <v>3271.2714709393645</v>
      </c>
      <c r="BF14" s="173">
        <f t="shared" si="23"/>
        <v>3.0000000000000027E-2</v>
      </c>
      <c r="BG14" s="173">
        <f t="shared" si="24"/>
        <v>2.4244298620877736E-2</v>
      </c>
      <c r="BH14" s="173">
        <f>'TABLE 1 - 2018-19 Provisional'!BF14</f>
        <v>5.4971627579504245E-2</v>
      </c>
      <c r="BI14" s="185">
        <f t="shared" si="4"/>
        <v>4.8488597241755473E-3</v>
      </c>
      <c r="BJ14" s="185">
        <f t="shared" si="5"/>
        <v>2.4244298620877736E-2</v>
      </c>
      <c r="BK14" s="173">
        <f t="shared" si="6"/>
        <v>0</v>
      </c>
      <c r="BL14" s="175">
        <f t="shared" si="7"/>
        <v>0</v>
      </c>
      <c r="BM14" s="165">
        <f>BL14*SUM('TABLE 4 - October 2016 Dataset'!F14:H14)</f>
        <v>0</v>
      </c>
      <c r="BN14" s="94">
        <f t="shared" si="8"/>
        <v>958449.2583376941</v>
      </c>
      <c r="BO14" s="103"/>
      <c r="BP14" s="179">
        <f t="shared" si="9"/>
        <v>947645.28833769413</v>
      </c>
      <c r="BQ14" s="175">
        <f>BP14/SUM('TABLE 4 - October 2016 Dataset'!F14:H14)</f>
        <v>3790.5811533507767</v>
      </c>
      <c r="BR14" s="175">
        <f t="shared" si="25"/>
        <v>0</v>
      </c>
      <c r="BS14" s="175">
        <f>BR14*SUM('TABLE 4 - October 2016 Dataset'!F14:H14)</f>
        <v>0</v>
      </c>
      <c r="BT14" s="94">
        <f t="shared" si="26"/>
        <v>958449.2583376941</v>
      </c>
      <c r="BU14" s="103"/>
      <c r="BV14" s="80">
        <f t="shared" si="27"/>
        <v>914801.89983965154</v>
      </c>
      <c r="BW14" s="122">
        <f t="shared" si="28"/>
        <v>3659.2075993586063</v>
      </c>
      <c r="BX14" s="264">
        <f t="shared" si="29"/>
        <v>958449.2583376941</v>
      </c>
      <c r="BY14" s="81">
        <f>BX14/SUM('TABLE 4 - October 2016 Dataset'!F14:H14)</f>
        <v>3833.7970333507765</v>
      </c>
      <c r="BZ14" s="264">
        <f t="shared" si="30"/>
        <v>43647.358498042566</v>
      </c>
      <c r="CA14" s="81">
        <f t="shared" si="31"/>
        <v>174.58943399217014</v>
      </c>
      <c r="CB14" s="269">
        <f t="shared" si="32"/>
        <v>4.7712361010283359E-2</v>
      </c>
      <c r="CC14" s="103"/>
      <c r="CD14" s="80">
        <f>'TABLE 5 - DfE Published Figures'!O13</f>
        <v>958000</v>
      </c>
      <c r="CE14" s="84">
        <f t="shared" si="33"/>
        <v>0</v>
      </c>
      <c r="CF14" s="81"/>
      <c r="CG14" s="81"/>
      <c r="CH14" s="81"/>
      <c r="CI14" s="81"/>
      <c r="CJ14" s="2"/>
    </row>
    <row r="15" spans="2:88" ht="15.75">
      <c r="B15" s="198">
        <v>2002</v>
      </c>
      <c r="C15" s="60" t="s">
        <v>21</v>
      </c>
      <c r="D15" s="204"/>
      <c r="F15" s="80">
        <v>281</v>
      </c>
      <c r="G15" s="163"/>
      <c r="H15" s="164">
        <v>0</v>
      </c>
      <c r="I15" s="94">
        <f t="shared" si="0"/>
        <v>281</v>
      </c>
      <c r="J15" s="103"/>
      <c r="K15" s="80">
        <v>1035455.2254848443</v>
      </c>
      <c r="L15" s="163"/>
      <c r="M15" s="163"/>
      <c r="N15" s="94">
        <f t="shared" si="1"/>
        <v>1035455.2254848443</v>
      </c>
      <c r="O15" s="103"/>
      <c r="P15" s="80">
        <f>P$76*'TABLE 4 - October 2016 Dataset'!F15</f>
        <v>771904.19</v>
      </c>
      <c r="Q15" s="160"/>
      <c r="R15" s="161"/>
      <c r="S15" s="162">
        <f t="shared" si="10"/>
        <v>771904.19</v>
      </c>
      <c r="T15" s="165">
        <f>T$76*'TABLE 4 - October 2016 Dataset'!I15</f>
        <v>21119.999999999964</v>
      </c>
      <c r="U15" s="165">
        <f>U$76*'TABLE 4 - October 2016 Dataset'!J15</f>
        <v>45235.698113207545</v>
      </c>
      <c r="V15" s="165">
        <f>V$76*'TABLE 4 - October 2016 Dataset'!K15</f>
        <v>0</v>
      </c>
      <c r="W15" s="165">
        <f>W$76*'TABLE 4 - October 2016 Dataset'!L15</f>
        <v>423.01075268817158</v>
      </c>
      <c r="X15" s="165">
        <f>X$76*'TABLE 4 - October 2016 Dataset'!M15</f>
        <v>31816.451612903191</v>
      </c>
      <c r="Y15" s="165">
        <f>Y$76*'TABLE 4 - October 2016 Dataset'!N15</f>
        <v>4713.5483870967691</v>
      </c>
      <c r="Z15" s="165">
        <f>Z$76*'TABLE 4 - October 2016 Dataset'!O15</f>
        <v>241.72043010752662</v>
      </c>
      <c r="AA15" s="165">
        <f>AA$76*'TABLE 4 - October 2016 Dataset'!P15</f>
        <v>2014.3369175627222</v>
      </c>
      <c r="AB15" s="162">
        <f t="shared" si="11"/>
        <v>105564.76621356589</v>
      </c>
      <c r="AC15" s="140">
        <f>AC$76*'TABLE 4 - October 2016 Dataset'!Q15</f>
        <v>108289.45312499996</v>
      </c>
      <c r="AD15" s="140">
        <f>AD$76*'TABLE 4 - October 2016 Dataset'!R15</f>
        <v>3605.0000000000068</v>
      </c>
      <c r="AE15" s="140">
        <f>AE$76*'TABLE 4 - October 2016 Dataset'!S15</f>
        <v>0</v>
      </c>
      <c r="AF15" s="140">
        <f t="shared" si="12"/>
        <v>110000</v>
      </c>
      <c r="AG15" s="140">
        <f>IF('TABLE 4 - October 2016 Dataset'!X15="No",0,"*CHECK*")</f>
        <v>0</v>
      </c>
      <c r="AH15" s="140">
        <f>'TABLE 4 - October 2016 Dataset'!Y15</f>
        <v>13136.38</v>
      </c>
      <c r="AI15" s="170">
        <f>IF('TABLE 4 - October 2016 Dataset'!Z15&gt;0,('TABLE 4 - October 2016 Dataset'!Z15*(1+'TABLE 1 - 2018-19 Provisional'!AI$79)*(1+AI$79))-((AI$76*SUM('TABLE 4 - October 2016 Dataset'!F15:H15))+AI$77),0)</f>
        <v>0</v>
      </c>
      <c r="AJ15" s="166" t="str">
        <f>IF('TABLE 4 - October 2016 Dataset'!AA15="Yes",'TABLE 2 - 2019-20 Illustrative'!AJ$76*SUM('TABLE 4 - October 2016 Dataset'!F15:H15),"")</f>
        <v/>
      </c>
      <c r="AK15" s="140">
        <f t="shared" si="13"/>
        <v>0</v>
      </c>
      <c r="AL15" s="94">
        <f t="shared" si="14"/>
        <v>1112499.7893385657</v>
      </c>
      <c r="AM15" s="103"/>
      <c r="AN15" s="80">
        <f t="shared" si="2"/>
        <v>1099363.4093385658</v>
      </c>
      <c r="AO15" s="165">
        <f>AN15/SUM('TABLE 4 - October 2016 Dataset'!F15:H15)</f>
        <v>3912.3253001372445</v>
      </c>
      <c r="AP15" s="165">
        <f t="shared" si="3"/>
        <v>0</v>
      </c>
      <c r="AQ15" s="165">
        <f>AP15*SUM('TABLE 4 - October 2016 Dataset'!F15:H15)</f>
        <v>0</v>
      </c>
      <c r="AR15" s="94">
        <f t="shared" si="15"/>
        <v>1112499.7893385657</v>
      </c>
      <c r="AS15" s="103"/>
      <c r="AT15" s="80">
        <f>N15-(AF15+AG15+'TABLE 4 - October 2016 Dataset'!Y15)</f>
        <v>912318.84548484429</v>
      </c>
      <c r="AU15" s="187">
        <f t="shared" si="16"/>
        <v>989363.40933856566</v>
      </c>
      <c r="AV15" s="165">
        <f t="shared" si="17"/>
        <v>3246.6862828642147</v>
      </c>
      <c r="AW15" s="165">
        <f>AU15/SUM('TABLE 4 - October 2016 Dataset'!F15:H15)</f>
        <v>3520.8662254041483</v>
      </c>
      <c r="AX15" s="173">
        <f t="shared" si="18"/>
        <v>8.4449164055990344E-2</v>
      </c>
      <c r="AY15" s="173">
        <f t="shared" si="19"/>
        <v>0</v>
      </c>
      <c r="AZ15" s="175">
        <f t="shared" si="20"/>
        <v>0</v>
      </c>
      <c r="BA15" s="165">
        <f t="shared" si="21"/>
        <v>0</v>
      </c>
      <c r="BB15" s="94">
        <f t="shared" si="22"/>
        <v>1112499.7893385657</v>
      </c>
      <c r="BC15" s="103"/>
      <c r="BD15" s="184">
        <f>'TABLE 1 - 2018-19 Provisional'!BR15-('TABLE 2 - 2019-20 Illustrative'!AF15+'TABLE 2 - 2019-20 Illustrative'!AG15+'TABLE 1 - 2018-19 Provisional'!AH15)</f>
        <v>939688.41084938974</v>
      </c>
      <c r="BE15" s="165">
        <f>BD15/SUM('TABLE 4 - October 2016 Dataset'!F15:H15)</f>
        <v>3344.0868713501413</v>
      </c>
      <c r="BF15" s="173">
        <f t="shared" si="23"/>
        <v>3.0000000000000027E-2</v>
      </c>
      <c r="BG15" s="173">
        <f t="shared" si="24"/>
        <v>5.2863266073776893E-2</v>
      </c>
      <c r="BH15" s="173">
        <f>'TABLE 1 - 2018-19 Provisional'!BF15</f>
        <v>8.4449164055990344E-2</v>
      </c>
      <c r="BI15" s="185">
        <f t="shared" si="4"/>
        <v>1.057265321475538E-2</v>
      </c>
      <c r="BJ15" s="185">
        <f t="shared" si="5"/>
        <v>0.03</v>
      </c>
      <c r="BK15" s="173">
        <f t="shared" si="6"/>
        <v>-2.2863266073776894E-2</v>
      </c>
      <c r="BL15" s="175">
        <f t="shared" si="7"/>
        <v>-76.456747913502412</v>
      </c>
      <c r="BM15" s="165">
        <f>BL15*SUM('TABLE 4 - October 2016 Dataset'!F15:H15)</f>
        <v>-21484.346163694179</v>
      </c>
      <c r="BN15" s="94">
        <f t="shared" si="8"/>
        <v>1091015.4431748714</v>
      </c>
      <c r="BO15" s="103"/>
      <c r="BP15" s="179">
        <f t="shared" si="9"/>
        <v>1077879.0631748715</v>
      </c>
      <c r="BQ15" s="175">
        <f>BP15/SUM('TABLE 4 - October 2016 Dataset'!F15:H15)</f>
        <v>3835.868552223742</v>
      </c>
      <c r="BR15" s="175">
        <f t="shared" si="25"/>
        <v>0</v>
      </c>
      <c r="BS15" s="175">
        <f>BR15*SUM('TABLE 4 - October 2016 Dataset'!F15:H15)</f>
        <v>0</v>
      </c>
      <c r="BT15" s="94">
        <f t="shared" si="26"/>
        <v>1091015.4431748714</v>
      </c>
      <c r="BU15" s="103"/>
      <c r="BV15" s="80">
        <f t="shared" si="27"/>
        <v>1035455.2254848443</v>
      </c>
      <c r="BW15" s="122">
        <f t="shared" si="28"/>
        <v>3684.894040871332</v>
      </c>
      <c r="BX15" s="264">
        <f t="shared" si="29"/>
        <v>1091015.4431748714</v>
      </c>
      <c r="BY15" s="81">
        <f>BX15/SUM('TABLE 4 - October 2016 Dataset'!F15:H15)</f>
        <v>3882.617235497763</v>
      </c>
      <c r="BZ15" s="264">
        <f t="shared" si="30"/>
        <v>55560.217690027086</v>
      </c>
      <c r="CA15" s="81">
        <f t="shared" si="31"/>
        <v>197.723194626431</v>
      </c>
      <c r="CB15" s="269">
        <f t="shared" si="32"/>
        <v>5.365776937772606E-2</v>
      </c>
      <c r="CC15" s="103"/>
      <c r="CD15" s="80">
        <f>'TABLE 5 - DfE Published Figures'!O14</f>
        <v>1080000</v>
      </c>
      <c r="CE15" s="84">
        <f t="shared" si="33"/>
        <v>11000</v>
      </c>
      <c r="CF15" s="81"/>
      <c r="CG15" s="81"/>
      <c r="CH15" s="81"/>
      <c r="CI15" s="81"/>
      <c r="CJ15" s="2"/>
    </row>
    <row r="16" spans="2:88" ht="15.75">
      <c r="B16" s="198">
        <v>2018</v>
      </c>
      <c r="C16" s="60" t="s">
        <v>22</v>
      </c>
      <c r="D16" s="204"/>
      <c r="F16" s="80">
        <v>390</v>
      </c>
      <c r="G16" s="163"/>
      <c r="H16" s="164">
        <v>-4</v>
      </c>
      <c r="I16" s="94">
        <f t="shared" si="0"/>
        <v>386</v>
      </c>
      <c r="J16" s="103"/>
      <c r="K16" s="80">
        <v>1456683.3905668238</v>
      </c>
      <c r="L16" s="163"/>
      <c r="M16" s="163"/>
      <c r="N16" s="94">
        <f t="shared" si="1"/>
        <v>1456683.3905668238</v>
      </c>
      <c r="O16" s="103"/>
      <c r="P16" s="80">
        <f>P$76*'TABLE 4 - October 2016 Dataset'!F16</f>
        <v>1060338.1399999999</v>
      </c>
      <c r="Q16" s="160"/>
      <c r="R16" s="161"/>
      <c r="S16" s="162">
        <f t="shared" si="10"/>
        <v>1060338.1399999999</v>
      </c>
      <c r="T16" s="165">
        <f>T$76*'TABLE 4 - October 2016 Dataset'!I16</f>
        <v>36519.999999999949</v>
      </c>
      <c r="U16" s="165">
        <f>U$76*'TABLE 4 - October 2016 Dataset'!J16</f>
        <v>76409.272237196768</v>
      </c>
      <c r="V16" s="165">
        <f>V$76*'TABLE 4 - October 2016 Dataset'!K16</f>
        <v>0</v>
      </c>
      <c r="W16" s="165">
        <f>W$76*'TABLE 4 - October 2016 Dataset'!L16</f>
        <v>51506.874999999942</v>
      </c>
      <c r="X16" s="165">
        <f>X$76*'TABLE 4 - October 2016 Dataset'!M16</f>
        <v>1568.125000000005</v>
      </c>
      <c r="Y16" s="165">
        <f>Y$76*'TABLE 4 - October 2016 Dataset'!N16</f>
        <v>29673.750000000044</v>
      </c>
      <c r="Z16" s="165">
        <f>Z$76*'TABLE 4 - October 2016 Dataset'!O16</f>
        <v>0</v>
      </c>
      <c r="AA16" s="165">
        <f>AA$76*'TABLE 4 - October 2016 Dataset'!P16</f>
        <v>10454.166666666692</v>
      </c>
      <c r="AB16" s="162">
        <f t="shared" si="11"/>
        <v>206132.18890386337</v>
      </c>
      <c r="AC16" s="140">
        <f>AC$76*'TABLE 4 - October 2016 Dataset'!Q16</f>
        <v>169213.45479617181</v>
      </c>
      <c r="AD16" s="140">
        <f>AD$76*'TABLE 4 - October 2016 Dataset'!R16</f>
        <v>22415.489614243332</v>
      </c>
      <c r="AE16" s="140">
        <f>AE$76*'TABLE 4 - October 2016 Dataset'!S16</f>
        <v>10949.400000000051</v>
      </c>
      <c r="AF16" s="140">
        <f t="shared" si="12"/>
        <v>110000</v>
      </c>
      <c r="AG16" s="140">
        <f>IF('TABLE 4 - October 2016 Dataset'!X16="No",0,"*CHECK*")</f>
        <v>0</v>
      </c>
      <c r="AH16" s="140">
        <f>'TABLE 4 - October 2016 Dataset'!Y16</f>
        <v>18764.79</v>
      </c>
      <c r="AI16" s="170">
        <f>IF('TABLE 4 - October 2016 Dataset'!Z16&gt;0,('TABLE 4 - October 2016 Dataset'!Z16*(1+'TABLE 1 - 2018-19 Provisional'!AI$79)*(1+AI$79))-((AI$76*SUM('TABLE 4 - October 2016 Dataset'!F16:H16))+AI$77),0)</f>
        <v>0</v>
      </c>
      <c r="AJ16" s="166" t="str">
        <f>IF('TABLE 4 - October 2016 Dataset'!AA16="Yes",'TABLE 2 - 2019-20 Illustrative'!AJ$76*SUM('TABLE 4 - October 2016 Dataset'!F16:H16),"")</f>
        <v/>
      </c>
      <c r="AK16" s="140">
        <f t="shared" si="13"/>
        <v>0</v>
      </c>
      <c r="AL16" s="94">
        <f t="shared" si="14"/>
        <v>1597813.4633142785</v>
      </c>
      <c r="AM16" s="103"/>
      <c r="AN16" s="80">
        <f t="shared" si="2"/>
        <v>1579048.6733142785</v>
      </c>
      <c r="AO16" s="165">
        <f>AN16/SUM('TABLE 4 - October 2016 Dataset'!F16:H16)</f>
        <v>4090.7996717986489</v>
      </c>
      <c r="AP16" s="165">
        <f t="shared" si="3"/>
        <v>0</v>
      </c>
      <c r="AQ16" s="165">
        <f>AP16*SUM('TABLE 4 - October 2016 Dataset'!F16:H16)</f>
        <v>0</v>
      </c>
      <c r="AR16" s="94">
        <f t="shared" si="15"/>
        <v>1597813.4633142785</v>
      </c>
      <c r="AS16" s="103"/>
      <c r="AT16" s="80">
        <f>N16-(AF16+AG16+'TABLE 4 - October 2016 Dataset'!Y16)</f>
        <v>1327918.6005668237</v>
      </c>
      <c r="AU16" s="187">
        <f t="shared" si="16"/>
        <v>1469048.6733142785</v>
      </c>
      <c r="AV16" s="165">
        <f t="shared" si="17"/>
        <v>3440.2036284114606</v>
      </c>
      <c r="AW16" s="165">
        <f>AU16/SUM('TABLE 4 - October 2016 Dataset'!F16:H16)</f>
        <v>3805.8255785344004</v>
      </c>
      <c r="AX16" s="173">
        <f t="shared" si="18"/>
        <v>0.10627915949608147</v>
      </c>
      <c r="AY16" s="173">
        <f t="shared" si="19"/>
        <v>0</v>
      </c>
      <c r="AZ16" s="175">
        <f t="shared" si="20"/>
        <v>0</v>
      </c>
      <c r="BA16" s="165">
        <f t="shared" si="21"/>
        <v>0</v>
      </c>
      <c r="BB16" s="94">
        <f t="shared" si="22"/>
        <v>1597813.4633142785</v>
      </c>
      <c r="BC16" s="103"/>
      <c r="BD16" s="184">
        <f>'TABLE 1 - 2018-19 Provisional'!BR16-('TABLE 2 - 2019-20 Illustrative'!AF16+'TABLE 2 - 2019-20 Illustrative'!AG16+'TABLE 1 - 2018-19 Provisional'!AH16)</f>
        <v>1367756.1585838285</v>
      </c>
      <c r="BE16" s="165">
        <f>BD16/SUM('TABLE 4 - October 2016 Dataset'!F16:H16)</f>
        <v>3543.4097372638043</v>
      </c>
      <c r="BF16" s="173">
        <f t="shared" si="23"/>
        <v>3.0000000000000027E-2</v>
      </c>
      <c r="BG16" s="173">
        <f t="shared" si="24"/>
        <v>7.4057436403962562E-2</v>
      </c>
      <c r="BH16" s="173">
        <f>'TABLE 1 - 2018-19 Provisional'!BF16</f>
        <v>0.10627915949608147</v>
      </c>
      <c r="BI16" s="185">
        <f t="shared" si="4"/>
        <v>1.4811487280792512E-2</v>
      </c>
      <c r="BJ16" s="185">
        <f t="shared" si="5"/>
        <v>0.03</v>
      </c>
      <c r="BK16" s="173">
        <f t="shared" si="6"/>
        <v>-4.4057436403962563E-2</v>
      </c>
      <c r="BL16" s="175">
        <f t="shared" si="7"/>
        <v>-156.11354915268174</v>
      </c>
      <c r="BM16" s="165">
        <f>BL16*SUM('TABLE 4 - October 2016 Dataset'!F16:H16)</f>
        <v>-60259.829972935149</v>
      </c>
      <c r="BN16" s="94">
        <f t="shared" si="8"/>
        <v>1537553.6333413434</v>
      </c>
      <c r="BO16" s="103"/>
      <c r="BP16" s="179">
        <f t="shared" si="9"/>
        <v>1518788.8433413433</v>
      </c>
      <c r="BQ16" s="175">
        <f>BP16/SUM('TABLE 4 - October 2016 Dataset'!F16:H16)</f>
        <v>3934.6861226459673</v>
      </c>
      <c r="BR16" s="175">
        <f t="shared" si="25"/>
        <v>0</v>
      </c>
      <c r="BS16" s="175">
        <f>BR16*SUM('TABLE 4 - October 2016 Dataset'!F16:H16)</f>
        <v>0</v>
      </c>
      <c r="BT16" s="94">
        <f t="shared" si="26"/>
        <v>1537553.6333413434</v>
      </c>
      <c r="BU16" s="103"/>
      <c r="BV16" s="80">
        <f t="shared" si="27"/>
        <v>1456683.3905668238</v>
      </c>
      <c r="BW16" s="122">
        <f t="shared" si="28"/>
        <v>3773.7911672715641</v>
      </c>
      <c r="BX16" s="264">
        <f t="shared" si="29"/>
        <v>1537553.6333413434</v>
      </c>
      <c r="BY16" s="81">
        <f>BX16/SUM('TABLE 4 - October 2016 Dataset'!F16:H16)</f>
        <v>3983.2995682418223</v>
      </c>
      <c r="BZ16" s="264">
        <f t="shared" si="30"/>
        <v>80870.242774519604</v>
      </c>
      <c r="CA16" s="81">
        <f t="shared" si="31"/>
        <v>209.50840097025821</v>
      </c>
      <c r="CB16" s="269">
        <f t="shared" si="32"/>
        <v>5.5516691752111963E-2</v>
      </c>
      <c r="CC16" s="103"/>
      <c r="CD16" s="80">
        <f>'TABLE 5 - DfE Published Figures'!O15</f>
        <v>1533000</v>
      </c>
      <c r="CE16" s="84">
        <f t="shared" si="33"/>
        <v>5000</v>
      </c>
      <c r="CF16" s="81"/>
      <c r="CG16" s="81"/>
      <c r="CH16" s="81"/>
      <c r="CI16" s="81"/>
      <c r="CJ16" s="2"/>
    </row>
    <row r="17" spans="2:88" ht="15.75">
      <c r="B17" s="198">
        <v>2430</v>
      </c>
      <c r="C17" s="60" t="s">
        <v>23</v>
      </c>
      <c r="D17" s="204" t="s">
        <v>70</v>
      </c>
      <c r="F17" s="80">
        <v>603</v>
      </c>
      <c r="G17" s="163"/>
      <c r="H17" s="164">
        <v>0</v>
      </c>
      <c r="I17" s="94">
        <f t="shared" si="0"/>
        <v>603</v>
      </c>
      <c r="J17" s="103"/>
      <c r="K17" s="80">
        <v>1838675.8178809343</v>
      </c>
      <c r="L17" s="163"/>
      <c r="M17" s="163"/>
      <c r="N17" s="94">
        <f t="shared" si="1"/>
        <v>1838675.8178809343</v>
      </c>
      <c r="O17" s="103"/>
      <c r="P17" s="80">
        <f>P$76*'TABLE 4 - October 2016 Dataset'!F17</f>
        <v>1656434.97</v>
      </c>
      <c r="Q17" s="160"/>
      <c r="R17" s="161"/>
      <c r="S17" s="162">
        <f t="shared" si="10"/>
        <v>1656434.97</v>
      </c>
      <c r="T17" s="165">
        <f>T$76*'TABLE 4 - October 2016 Dataset'!I17</f>
        <v>7480.0000000000091</v>
      </c>
      <c r="U17" s="165">
        <f>U$76*'TABLE 4 - October 2016 Dataset'!J17</f>
        <v>20901.283783783783</v>
      </c>
      <c r="V17" s="165">
        <f>V$76*'TABLE 4 - October 2016 Dataset'!K17</f>
        <v>0</v>
      </c>
      <c r="W17" s="165">
        <f>W$76*'TABLE 4 - October 2016 Dataset'!L17</f>
        <v>6821.8181818181729</v>
      </c>
      <c r="X17" s="165">
        <f>X$76*'TABLE 4 - October 2016 Dataset'!M17</f>
        <v>0</v>
      </c>
      <c r="Y17" s="165">
        <f>Y$76*'TABLE 4 - October 2016 Dataset'!N17</f>
        <v>5116.3636363636433</v>
      </c>
      <c r="Z17" s="165">
        <f>Z$76*'TABLE 4 - October 2016 Dataset'!O17</f>
        <v>487.27272727272771</v>
      </c>
      <c r="AA17" s="165">
        <f>AA$76*'TABLE 4 - October 2016 Dataset'!P17</f>
        <v>812.12121212121178</v>
      </c>
      <c r="AB17" s="162">
        <f t="shared" si="11"/>
        <v>41618.859541359547</v>
      </c>
      <c r="AC17" s="140">
        <f>AC$76*'TABLE 4 - October 2016 Dataset'!Q17</f>
        <v>160365.55789473688</v>
      </c>
      <c r="AD17" s="140">
        <f>AD$76*'TABLE 4 - October 2016 Dataset'!R17</f>
        <v>14556.796875</v>
      </c>
      <c r="AE17" s="140">
        <f>AE$76*'TABLE 4 - October 2016 Dataset'!S17</f>
        <v>0</v>
      </c>
      <c r="AF17" s="140">
        <f t="shared" si="12"/>
        <v>110000</v>
      </c>
      <c r="AG17" s="140">
        <f>IF('TABLE 4 - October 2016 Dataset'!X17="No",0,"*CHECK*")</f>
        <v>0</v>
      </c>
      <c r="AH17" s="140">
        <f>'TABLE 4 - October 2016 Dataset'!Y17</f>
        <v>72708.84</v>
      </c>
      <c r="AI17" s="170">
        <f>IF('TABLE 4 - October 2016 Dataset'!Z17&gt;0,('TABLE 4 - October 2016 Dataset'!Z17*(1+'TABLE 1 - 2018-19 Provisional'!AI$79)*(1+AI$79))-((AI$76*SUM('TABLE 4 - October 2016 Dataset'!F17:H17))+AI$77),0)</f>
        <v>0</v>
      </c>
      <c r="AJ17" s="166" t="str">
        <f>IF('TABLE 4 - October 2016 Dataset'!AA17="Yes",'TABLE 2 - 2019-20 Illustrative'!AJ$76*SUM('TABLE 4 - October 2016 Dataset'!F17:H17),"")</f>
        <v/>
      </c>
      <c r="AK17" s="140">
        <f t="shared" si="13"/>
        <v>0</v>
      </c>
      <c r="AL17" s="94">
        <f t="shared" si="14"/>
        <v>2055685.0243110966</v>
      </c>
      <c r="AM17" s="103"/>
      <c r="AN17" s="80">
        <f t="shared" si="2"/>
        <v>1982976.1843110966</v>
      </c>
      <c r="AO17" s="165">
        <f>AN17/SUM('TABLE 4 - October 2016 Dataset'!F17:H17)</f>
        <v>3288.5177185921998</v>
      </c>
      <c r="AP17" s="165">
        <f t="shared" si="3"/>
        <v>211.4822814078002</v>
      </c>
      <c r="AQ17" s="165">
        <f>AP17*SUM('TABLE 4 - October 2016 Dataset'!F17:H17)</f>
        <v>127523.81568890352</v>
      </c>
      <c r="AR17" s="94">
        <f t="shared" si="15"/>
        <v>2183208.8400000003</v>
      </c>
      <c r="AS17" s="103"/>
      <c r="AT17" s="80">
        <f>N17-(AF17+AG17+'TABLE 4 - October 2016 Dataset'!Y17)</f>
        <v>1655966.9778809343</v>
      </c>
      <c r="AU17" s="187">
        <f t="shared" si="16"/>
        <v>2000500.0000000002</v>
      </c>
      <c r="AV17" s="165">
        <f t="shared" si="17"/>
        <v>2746.2138936665579</v>
      </c>
      <c r="AW17" s="165">
        <f>AU17/SUM('TABLE 4 - October 2016 Dataset'!F17:H17)</f>
        <v>3317.5787728026539</v>
      </c>
      <c r="AX17" s="173">
        <f t="shared" si="18"/>
        <v>0.20805549067164919</v>
      </c>
      <c r="AY17" s="173">
        <f t="shared" si="19"/>
        <v>0</v>
      </c>
      <c r="AZ17" s="175">
        <f t="shared" si="20"/>
        <v>0</v>
      </c>
      <c r="BA17" s="165">
        <f t="shared" si="21"/>
        <v>0</v>
      </c>
      <c r="BB17" s="94">
        <f t="shared" si="22"/>
        <v>2183208.8400000003</v>
      </c>
      <c r="BC17" s="103"/>
      <c r="BD17" s="184">
        <f>'TABLE 1 - 2018-19 Provisional'!BR17-('TABLE 2 - 2019-20 Illustrative'!AF17+'TABLE 2 - 2019-20 Illustrative'!AG17+'TABLE 1 - 2018-19 Provisional'!AH17)</f>
        <v>1879900</v>
      </c>
      <c r="BE17" s="165">
        <f>BD17/SUM('TABLE 4 - October 2016 Dataset'!F17:H17)</f>
        <v>3117.5787728026535</v>
      </c>
      <c r="BF17" s="173">
        <f t="shared" si="23"/>
        <v>0.13522795146894939</v>
      </c>
      <c r="BG17" s="173">
        <f t="shared" si="24"/>
        <v>6.4152348529177283E-2</v>
      </c>
      <c r="BH17" s="173">
        <f>'TABLE 1 - 2018-19 Provisional'!BF17</f>
        <v>0.20805549067164919</v>
      </c>
      <c r="BI17" s="185">
        <f t="shared" si="4"/>
        <v>1.2830469705835457E-2</v>
      </c>
      <c r="BJ17" s="185">
        <f t="shared" si="5"/>
        <v>0.03</v>
      </c>
      <c r="BK17" s="173">
        <f t="shared" si="6"/>
        <v>-3.4152348529177284E-2</v>
      </c>
      <c r="BL17" s="175">
        <f t="shared" si="7"/>
        <v>-106.47263681592102</v>
      </c>
      <c r="BM17" s="165">
        <f>BL17*SUM('TABLE 4 - October 2016 Dataset'!F17:H17)</f>
        <v>-64203.000000000378</v>
      </c>
      <c r="BN17" s="94">
        <f t="shared" si="8"/>
        <v>2119005.84</v>
      </c>
      <c r="BO17" s="103"/>
      <c r="BP17" s="179">
        <f t="shared" si="9"/>
        <v>2046296.9999999998</v>
      </c>
      <c r="BQ17" s="175">
        <f>BP17/SUM('TABLE 4 - October 2016 Dataset'!F17:H17)</f>
        <v>3393.5273631840791</v>
      </c>
      <c r="BR17" s="175">
        <f t="shared" si="25"/>
        <v>106.47263681592085</v>
      </c>
      <c r="BS17" s="175">
        <f>BR17*SUM('TABLE 4 - October 2016 Dataset'!F17:H17)</f>
        <v>64203.000000000276</v>
      </c>
      <c r="BT17" s="94">
        <f t="shared" si="26"/>
        <v>2183208.8400000003</v>
      </c>
      <c r="BU17" s="103"/>
      <c r="BV17" s="80">
        <f t="shared" si="27"/>
        <v>1838675.8178809343</v>
      </c>
      <c r="BW17" s="122">
        <f t="shared" si="28"/>
        <v>3049.2136283265909</v>
      </c>
      <c r="BX17" s="264">
        <f t="shared" si="29"/>
        <v>2183208.8400000003</v>
      </c>
      <c r="BY17" s="81">
        <f>BX17/SUM('TABLE 4 - October 2016 Dataset'!F17:H17)</f>
        <v>3620.578507462687</v>
      </c>
      <c r="BZ17" s="264">
        <f t="shared" si="30"/>
        <v>344533.02211906598</v>
      </c>
      <c r="CA17" s="81">
        <f t="shared" si="31"/>
        <v>571.36487913609608</v>
      </c>
      <c r="CB17" s="269">
        <f t="shared" si="32"/>
        <v>0.18738105911249689</v>
      </c>
      <c r="CC17" s="103"/>
      <c r="CD17" s="80">
        <f>'TABLE 5 - DfE Published Figures'!O16</f>
        <v>2183000</v>
      </c>
      <c r="CE17" s="84">
        <f t="shared" si="33"/>
        <v>0</v>
      </c>
      <c r="CF17" s="81"/>
      <c r="CG17" s="81"/>
      <c r="CH17" s="81"/>
      <c r="CI17" s="81"/>
      <c r="CJ17" s="2"/>
    </row>
    <row r="18" spans="2:88" ht="15.75">
      <c r="B18" s="198">
        <v>2013</v>
      </c>
      <c r="C18" s="60" t="s">
        <v>24</v>
      </c>
      <c r="D18" s="204"/>
      <c r="F18" s="80">
        <v>397</v>
      </c>
      <c r="G18" s="163"/>
      <c r="H18" s="164">
        <v>-1</v>
      </c>
      <c r="I18" s="94">
        <f t="shared" si="0"/>
        <v>396</v>
      </c>
      <c r="J18" s="103"/>
      <c r="K18" s="80">
        <v>1196261.0565050915</v>
      </c>
      <c r="L18" s="163"/>
      <c r="M18" s="163"/>
      <c r="N18" s="94">
        <f t="shared" si="1"/>
        <v>1196261.0565050915</v>
      </c>
      <c r="O18" s="103"/>
      <c r="P18" s="80">
        <f>P$76*'TABLE 4 - October 2016 Dataset'!F18</f>
        <v>1087808.0399999998</v>
      </c>
      <c r="Q18" s="160"/>
      <c r="R18" s="161"/>
      <c r="S18" s="162">
        <f t="shared" si="10"/>
        <v>1087808.0399999998</v>
      </c>
      <c r="T18" s="165">
        <f>T$76*'TABLE 4 - October 2016 Dataset'!I18</f>
        <v>1759.9999999999998</v>
      </c>
      <c r="U18" s="165">
        <f>U$76*'TABLE 4 - October 2016 Dataset'!J18</f>
        <v>10559.999999999998</v>
      </c>
      <c r="V18" s="165">
        <f>V$76*'TABLE 4 - October 2016 Dataset'!K18</f>
        <v>0</v>
      </c>
      <c r="W18" s="165">
        <f>W$76*'TABLE 4 - October 2016 Dataset'!L18</f>
        <v>0</v>
      </c>
      <c r="X18" s="165">
        <f>X$76*'TABLE 4 - October 2016 Dataset'!M18</f>
        <v>0</v>
      </c>
      <c r="Y18" s="165">
        <f>Y$76*'TABLE 4 - October 2016 Dataset'!N18</f>
        <v>1080.0000000000007</v>
      </c>
      <c r="Z18" s="165">
        <f>Z$76*'TABLE 4 - October 2016 Dataset'!O18</f>
        <v>0</v>
      </c>
      <c r="AA18" s="165">
        <f>AA$76*'TABLE 4 - October 2016 Dataset'!P18</f>
        <v>1200.0000000000039</v>
      </c>
      <c r="AB18" s="162">
        <f t="shared" si="11"/>
        <v>14600.000000000002</v>
      </c>
      <c r="AC18" s="140">
        <f>AC$76*'TABLE 4 - October 2016 Dataset'!Q18</f>
        <v>91785.490654205554</v>
      </c>
      <c r="AD18" s="140">
        <f>AD$76*'TABLE 4 - October 2016 Dataset'!R18</f>
        <v>1217.5522388059694</v>
      </c>
      <c r="AE18" s="140">
        <f>AE$76*'TABLE 4 - October 2016 Dataset'!S18</f>
        <v>0</v>
      </c>
      <c r="AF18" s="140">
        <f t="shared" si="12"/>
        <v>110000</v>
      </c>
      <c r="AG18" s="140">
        <f>IF('TABLE 4 - October 2016 Dataset'!X18="No",0,"*CHECK*")</f>
        <v>0</v>
      </c>
      <c r="AH18" s="140">
        <f>'TABLE 4 - October 2016 Dataset'!Y18</f>
        <v>20044.21</v>
      </c>
      <c r="AI18" s="170">
        <f>IF('TABLE 4 - October 2016 Dataset'!Z18&gt;0,('TABLE 4 - October 2016 Dataset'!Z18*(1+'TABLE 1 - 2018-19 Provisional'!AI$79)*(1+AI$79))-((AI$76*SUM('TABLE 4 - October 2016 Dataset'!F18:H18))+AI$77),0)</f>
        <v>0</v>
      </c>
      <c r="AJ18" s="166" t="str">
        <f>IF('TABLE 4 - October 2016 Dataset'!AA18="Yes",'TABLE 2 - 2019-20 Illustrative'!AJ$76*SUM('TABLE 4 - October 2016 Dataset'!F18:H18),"")</f>
        <v/>
      </c>
      <c r="AK18" s="140">
        <f t="shared" si="13"/>
        <v>0</v>
      </c>
      <c r="AL18" s="94">
        <f t="shared" si="14"/>
        <v>1325455.2928930114</v>
      </c>
      <c r="AM18" s="103"/>
      <c r="AN18" s="80">
        <f t="shared" si="2"/>
        <v>1305411.0828930114</v>
      </c>
      <c r="AO18" s="165">
        <f>AN18/SUM('TABLE 4 - October 2016 Dataset'!F18:H18)</f>
        <v>3296.4926335682107</v>
      </c>
      <c r="AP18" s="165">
        <f t="shared" si="3"/>
        <v>203.50736643178925</v>
      </c>
      <c r="AQ18" s="165">
        <f>AP18*SUM('TABLE 4 - October 2016 Dataset'!F18:H18)</f>
        <v>80588.917106988549</v>
      </c>
      <c r="AR18" s="94">
        <f t="shared" si="15"/>
        <v>1406044.21</v>
      </c>
      <c r="AS18" s="103"/>
      <c r="AT18" s="80">
        <f>N18-(AF18+AG18+'TABLE 4 - October 2016 Dataset'!Y18)</f>
        <v>1066216.8465050915</v>
      </c>
      <c r="AU18" s="187">
        <f t="shared" si="16"/>
        <v>1276000</v>
      </c>
      <c r="AV18" s="165">
        <f t="shared" si="17"/>
        <v>2692.4667841037663</v>
      </c>
      <c r="AW18" s="165">
        <f>AU18/SUM('TABLE 4 - October 2016 Dataset'!F18:H18)</f>
        <v>3222.2222222222222</v>
      </c>
      <c r="AX18" s="173">
        <f t="shared" si="18"/>
        <v>0.19675467910917765</v>
      </c>
      <c r="AY18" s="173">
        <f t="shared" si="19"/>
        <v>0</v>
      </c>
      <c r="AZ18" s="175">
        <f t="shared" si="20"/>
        <v>0</v>
      </c>
      <c r="BA18" s="165">
        <f t="shared" si="21"/>
        <v>0</v>
      </c>
      <c r="BB18" s="94">
        <f t="shared" si="22"/>
        <v>1406044.21</v>
      </c>
      <c r="BC18" s="103"/>
      <c r="BD18" s="184">
        <f>'TABLE 1 - 2018-19 Provisional'!BR18-('TABLE 2 - 2019-20 Illustrative'!AF18+'TABLE 2 - 2019-20 Illustrative'!AG18+'TABLE 1 - 2018-19 Provisional'!AH18)</f>
        <v>1196800</v>
      </c>
      <c r="BE18" s="165">
        <f>BD18/SUM('TABLE 4 - October 2016 Dataset'!F18:H18)</f>
        <v>3022.2222222222222</v>
      </c>
      <c r="BF18" s="173">
        <f t="shared" si="23"/>
        <v>0.12247335419895289</v>
      </c>
      <c r="BG18" s="173">
        <f t="shared" si="24"/>
        <v>6.6176470588235281E-2</v>
      </c>
      <c r="BH18" s="173">
        <f>'TABLE 1 - 2018-19 Provisional'!BF18</f>
        <v>0.19675467910917765</v>
      </c>
      <c r="BI18" s="185">
        <f t="shared" si="4"/>
        <v>1.3235294117647057E-2</v>
      </c>
      <c r="BJ18" s="185">
        <f t="shared" si="5"/>
        <v>0.03</v>
      </c>
      <c r="BK18" s="173">
        <f t="shared" si="6"/>
        <v>-3.6176470588235282E-2</v>
      </c>
      <c r="BL18" s="175">
        <f t="shared" si="7"/>
        <v>-109.3333333333333</v>
      </c>
      <c r="BM18" s="165">
        <f>BL18*SUM('TABLE 4 - October 2016 Dataset'!F18:H18)</f>
        <v>-43295.999999999985</v>
      </c>
      <c r="BN18" s="94">
        <f t="shared" si="8"/>
        <v>1362748.21</v>
      </c>
      <c r="BO18" s="103"/>
      <c r="BP18" s="179">
        <f t="shared" si="9"/>
        <v>1342704</v>
      </c>
      <c r="BQ18" s="175">
        <f>BP18/SUM('TABLE 4 - October 2016 Dataset'!F18:H18)</f>
        <v>3390.6666666666665</v>
      </c>
      <c r="BR18" s="175">
        <f t="shared" si="25"/>
        <v>109.33333333333348</v>
      </c>
      <c r="BS18" s="175">
        <f>BR18*SUM('TABLE 4 - October 2016 Dataset'!F18:H18)</f>
        <v>43296.000000000058</v>
      </c>
      <c r="BT18" s="94">
        <f t="shared" si="26"/>
        <v>1406044.21</v>
      </c>
      <c r="BU18" s="103"/>
      <c r="BV18" s="80">
        <f t="shared" si="27"/>
        <v>1196261.0565050915</v>
      </c>
      <c r="BW18" s="122">
        <f t="shared" si="28"/>
        <v>3020.861253800736</v>
      </c>
      <c r="BX18" s="264">
        <f t="shared" si="29"/>
        <v>1406044.21</v>
      </c>
      <c r="BY18" s="81">
        <f>BX18/SUM('TABLE 4 - October 2016 Dataset'!F18:H18)</f>
        <v>3550.6166919191919</v>
      </c>
      <c r="BZ18" s="264">
        <f t="shared" si="30"/>
        <v>209783.15349490847</v>
      </c>
      <c r="CA18" s="81">
        <f t="shared" si="31"/>
        <v>529.75543811845591</v>
      </c>
      <c r="CB18" s="269">
        <f t="shared" si="32"/>
        <v>0.17536569660454851</v>
      </c>
      <c r="CC18" s="103"/>
      <c r="CD18" s="80">
        <f>'TABLE 5 - DfE Published Figures'!O17</f>
        <v>1406000</v>
      </c>
      <c r="CE18" s="84">
        <f t="shared" si="33"/>
        <v>0</v>
      </c>
      <c r="CF18" s="81"/>
      <c r="CG18" s="81"/>
      <c r="CH18" s="81"/>
      <c r="CI18" s="81"/>
      <c r="CJ18" s="2"/>
    </row>
    <row r="19" spans="2:88" ht="15.75">
      <c r="B19" s="198">
        <v>2007</v>
      </c>
      <c r="C19" s="60" t="s">
        <v>25</v>
      </c>
      <c r="D19" s="204"/>
      <c r="F19" s="80">
        <v>290</v>
      </c>
      <c r="G19" s="163"/>
      <c r="H19" s="164">
        <v>0</v>
      </c>
      <c r="I19" s="94">
        <f t="shared" si="0"/>
        <v>290</v>
      </c>
      <c r="J19" s="103"/>
      <c r="K19" s="80">
        <v>956811.6401583699</v>
      </c>
      <c r="L19" s="163"/>
      <c r="M19" s="163"/>
      <c r="N19" s="94">
        <f t="shared" si="1"/>
        <v>956811.6401583699</v>
      </c>
      <c r="O19" s="103"/>
      <c r="P19" s="80">
        <f>P$76*'TABLE 4 - October 2016 Dataset'!F19</f>
        <v>796627.1</v>
      </c>
      <c r="Q19" s="160"/>
      <c r="R19" s="161"/>
      <c r="S19" s="162">
        <f t="shared" si="10"/>
        <v>796627.1</v>
      </c>
      <c r="T19" s="165">
        <f>T$76*'TABLE 4 - October 2016 Dataset'!I19</f>
        <v>9240.0000000000036</v>
      </c>
      <c r="U19" s="165">
        <f>U$76*'TABLE 4 - October 2016 Dataset'!J19</f>
        <v>21750</v>
      </c>
      <c r="V19" s="165">
        <f>V$76*'TABLE 4 - October 2016 Dataset'!K19</f>
        <v>0</v>
      </c>
      <c r="W19" s="165">
        <f>W$76*'TABLE 4 - October 2016 Dataset'!L19</f>
        <v>0</v>
      </c>
      <c r="X19" s="165">
        <f>X$76*'TABLE 4 - October 2016 Dataset'!M19</f>
        <v>1587.3684210526264</v>
      </c>
      <c r="Y19" s="165">
        <f>Y$76*'TABLE 4 - October 2016 Dataset'!N19</f>
        <v>2564.2105263157864</v>
      </c>
      <c r="Z19" s="165">
        <f>Z$76*'TABLE 4 - October 2016 Dataset'!O19</f>
        <v>0</v>
      </c>
      <c r="AA19" s="165">
        <f>AA$76*'TABLE 4 - October 2016 Dataset'!P19</f>
        <v>14245.614035087703</v>
      </c>
      <c r="AB19" s="162">
        <f t="shared" si="11"/>
        <v>49387.192982456116</v>
      </c>
      <c r="AC19" s="140">
        <f>AC$76*'TABLE 4 - October 2016 Dataset'!Q19</f>
        <v>61931.875624375556</v>
      </c>
      <c r="AD19" s="140">
        <f>AD$76*'TABLE 4 - October 2016 Dataset'!R19</f>
        <v>4876.7346938775518</v>
      </c>
      <c r="AE19" s="140">
        <f>AE$76*'TABLE 4 - October 2016 Dataset'!S19</f>
        <v>0</v>
      </c>
      <c r="AF19" s="140">
        <f t="shared" si="12"/>
        <v>110000</v>
      </c>
      <c r="AG19" s="140">
        <f>IF('TABLE 4 - October 2016 Dataset'!X19="No",0,"*CHECK*")</f>
        <v>0</v>
      </c>
      <c r="AH19" s="140">
        <f>'TABLE 4 - October 2016 Dataset'!Y19</f>
        <v>19475.580000000002</v>
      </c>
      <c r="AI19" s="170">
        <f>IF('TABLE 4 - October 2016 Dataset'!Z19&gt;0,('TABLE 4 - October 2016 Dataset'!Z19*(1+'TABLE 1 - 2018-19 Provisional'!AI$79)*(1+AI$79))-((AI$76*SUM('TABLE 4 - October 2016 Dataset'!F19:H19))+AI$77),0)</f>
        <v>0</v>
      </c>
      <c r="AJ19" s="166" t="str">
        <f>IF('TABLE 4 - October 2016 Dataset'!AA19="Yes",'TABLE 2 - 2019-20 Illustrative'!AJ$76*SUM('TABLE 4 - October 2016 Dataset'!F19:H19),"")</f>
        <v/>
      </c>
      <c r="AK19" s="140">
        <f t="shared" si="13"/>
        <v>0</v>
      </c>
      <c r="AL19" s="94">
        <f t="shared" si="14"/>
        <v>1042298.483300709</v>
      </c>
      <c r="AM19" s="103"/>
      <c r="AN19" s="80">
        <f t="shared" si="2"/>
        <v>1022822.9033007091</v>
      </c>
      <c r="AO19" s="165">
        <f>AN19/SUM('TABLE 4 - October 2016 Dataset'!F19:H19)</f>
        <v>3526.9755286231348</v>
      </c>
      <c r="AP19" s="165">
        <f t="shared" si="3"/>
        <v>0</v>
      </c>
      <c r="AQ19" s="165">
        <f>AP19*SUM('TABLE 4 - October 2016 Dataset'!F19:H19)</f>
        <v>0</v>
      </c>
      <c r="AR19" s="94">
        <f t="shared" si="15"/>
        <v>1042298.483300709</v>
      </c>
      <c r="AS19" s="103"/>
      <c r="AT19" s="80">
        <f>N19-(AF19+AG19+'TABLE 4 - October 2016 Dataset'!Y19)</f>
        <v>827336.06015836995</v>
      </c>
      <c r="AU19" s="187">
        <f t="shared" si="16"/>
        <v>912822.90330070909</v>
      </c>
      <c r="AV19" s="165">
        <f t="shared" si="17"/>
        <v>2852.8829660633446</v>
      </c>
      <c r="AW19" s="165">
        <f>AU19/SUM('TABLE 4 - October 2016 Dataset'!F19:H19)</f>
        <v>3147.6651837955487</v>
      </c>
      <c r="AX19" s="173">
        <f t="shared" si="18"/>
        <v>0.10332783406778523</v>
      </c>
      <c r="AY19" s="173">
        <f t="shared" si="19"/>
        <v>0</v>
      </c>
      <c r="AZ19" s="175">
        <f t="shared" si="20"/>
        <v>0</v>
      </c>
      <c r="BA19" s="165">
        <f t="shared" si="21"/>
        <v>0</v>
      </c>
      <c r="BB19" s="94">
        <f t="shared" si="22"/>
        <v>1042298.483300709</v>
      </c>
      <c r="BC19" s="103"/>
      <c r="BD19" s="184">
        <f>'TABLE 1 - 2018-19 Provisional'!BR19-('TABLE 2 - 2019-20 Illustrative'!AF19+'TABLE 2 - 2019-20 Illustrative'!AG19+'TABLE 1 - 2018-19 Provisional'!AH19)</f>
        <v>852156.14196312102</v>
      </c>
      <c r="BE19" s="165">
        <f>BD19/SUM('TABLE 4 - October 2016 Dataset'!F19:H19)</f>
        <v>2938.469455045245</v>
      </c>
      <c r="BF19" s="173">
        <f t="shared" si="23"/>
        <v>3.0000000000000027E-2</v>
      </c>
      <c r="BG19" s="173">
        <f t="shared" si="24"/>
        <v>7.1192071910471055E-2</v>
      </c>
      <c r="BH19" s="173">
        <f>'TABLE 1 - 2018-19 Provisional'!BF19</f>
        <v>0.10332783406778523</v>
      </c>
      <c r="BI19" s="185">
        <f t="shared" si="4"/>
        <v>1.4238414382094212E-2</v>
      </c>
      <c r="BJ19" s="185">
        <f t="shared" si="5"/>
        <v>0.03</v>
      </c>
      <c r="BK19" s="173">
        <f t="shared" si="6"/>
        <v>-4.1192071910471056E-2</v>
      </c>
      <c r="BL19" s="175">
        <f t="shared" si="7"/>
        <v>-121.04164509894643</v>
      </c>
      <c r="BM19" s="165">
        <f>BL19*SUM('TABLE 4 - October 2016 Dataset'!F19:H19)</f>
        <v>-35102.077078694463</v>
      </c>
      <c r="BN19" s="94">
        <f t="shared" si="8"/>
        <v>1007196.4062220146</v>
      </c>
      <c r="BO19" s="103"/>
      <c r="BP19" s="179">
        <f t="shared" si="9"/>
        <v>987720.82622201461</v>
      </c>
      <c r="BQ19" s="175">
        <f>BP19/SUM('TABLE 4 - October 2016 Dataset'!F19:H19)</f>
        <v>3405.9338835241883</v>
      </c>
      <c r="BR19" s="175">
        <f t="shared" si="25"/>
        <v>94.066116475811668</v>
      </c>
      <c r="BS19" s="175">
        <f>BR19*SUM('TABLE 4 - October 2016 Dataset'!F19:H19)</f>
        <v>27279.173777985383</v>
      </c>
      <c r="BT19" s="94">
        <f t="shared" si="26"/>
        <v>1034475.58</v>
      </c>
      <c r="BU19" s="103"/>
      <c r="BV19" s="80">
        <f t="shared" si="27"/>
        <v>956811.6401583699</v>
      </c>
      <c r="BW19" s="122">
        <f t="shared" si="28"/>
        <v>3299.3504833047236</v>
      </c>
      <c r="BX19" s="264">
        <f t="shared" si="29"/>
        <v>1034475.58</v>
      </c>
      <c r="BY19" s="81">
        <f>BX19/SUM('TABLE 4 - October 2016 Dataset'!F19:H19)</f>
        <v>3567.157172413793</v>
      </c>
      <c r="BZ19" s="264">
        <f t="shared" si="30"/>
        <v>77663.939841630054</v>
      </c>
      <c r="CA19" s="81">
        <f t="shared" si="31"/>
        <v>267.80668910906934</v>
      </c>
      <c r="CB19" s="269">
        <f t="shared" si="32"/>
        <v>8.1169518201905766E-2</v>
      </c>
      <c r="CC19" s="103"/>
      <c r="CD19" s="80">
        <f>'TABLE 5 - DfE Published Figures'!O18</f>
        <v>1034000</v>
      </c>
      <c r="CE19" s="84">
        <f t="shared" si="33"/>
        <v>0</v>
      </c>
      <c r="CF19" s="81"/>
      <c r="CG19" s="81"/>
      <c r="CH19" s="81"/>
      <c r="CI19" s="81"/>
      <c r="CJ19" s="2"/>
    </row>
    <row r="20" spans="2:88" ht="15.75">
      <c r="B20" s="198">
        <v>3151</v>
      </c>
      <c r="C20" s="60" t="s">
        <v>26</v>
      </c>
      <c r="D20" s="204"/>
      <c r="F20" s="80">
        <v>254</v>
      </c>
      <c r="G20" s="163"/>
      <c r="H20" s="164">
        <v>-1</v>
      </c>
      <c r="I20" s="94">
        <f t="shared" si="0"/>
        <v>253</v>
      </c>
      <c r="J20" s="103"/>
      <c r="K20" s="80">
        <v>827075.54038323567</v>
      </c>
      <c r="L20" s="163"/>
      <c r="M20" s="163"/>
      <c r="N20" s="94">
        <f t="shared" si="1"/>
        <v>827075.54038323567</v>
      </c>
      <c r="O20" s="103"/>
      <c r="P20" s="80">
        <f>P$76*'TABLE 4 - October 2016 Dataset'!F20</f>
        <v>694988.47</v>
      </c>
      <c r="Q20" s="160"/>
      <c r="R20" s="161"/>
      <c r="S20" s="162">
        <f t="shared" si="10"/>
        <v>694988.47</v>
      </c>
      <c r="T20" s="165">
        <f>T$76*'TABLE 4 - October 2016 Dataset'!I20</f>
        <v>3079.9999999999977</v>
      </c>
      <c r="U20" s="165">
        <f>U$76*'TABLE 4 - October 2016 Dataset'!J20</f>
        <v>8230.12048192771</v>
      </c>
      <c r="V20" s="165">
        <f>V$76*'TABLE 4 - October 2016 Dataset'!K20</f>
        <v>0</v>
      </c>
      <c r="W20" s="165">
        <f>W$76*'TABLE 4 - October 2016 Dataset'!L20</f>
        <v>0</v>
      </c>
      <c r="X20" s="165">
        <f>X$76*'TABLE 4 - October 2016 Dataset'!M20</f>
        <v>0</v>
      </c>
      <c r="Y20" s="165">
        <f>Y$76*'TABLE 4 - October 2016 Dataset'!N20</f>
        <v>0</v>
      </c>
      <c r="Z20" s="165">
        <f>Z$76*'TABLE 4 - October 2016 Dataset'!O20</f>
        <v>0</v>
      </c>
      <c r="AA20" s="165">
        <f>AA$76*'TABLE 4 - October 2016 Dataset'!P20</f>
        <v>0</v>
      </c>
      <c r="AB20" s="162">
        <f t="shared" si="11"/>
        <v>11310.120481927708</v>
      </c>
      <c r="AC20" s="140">
        <f>AC$76*'TABLE 4 - October 2016 Dataset'!Q20</f>
        <v>52250.748346676002</v>
      </c>
      <c r="AD20" s="140">
        <f>AD$76*'TABLE 4 - October 2016 Dataset'!R20</f>
        <v>4126.9909502262472</v>
      </c>
      <c r="AE20" s="140">
        <f>AE$76*'TABLE 4 - October 2016 Dataset'!S20</f>
        <v>0</v>
      </c>
      <c r="AF20" s="140">
        <f t="shared" si="12"/>
        <v>110000</v>
      </c>
      <c r="AG20" s="140">
        <f>IF('TABLE 4 - October 2016 Dataset'!X20="No",0,"*CHECK*")</f>
        <v>0</v>
      </c>
      <c r="AH20" s="140">
        <f>'TABLE 4 - October 2016 Dataset'!Y20</f>
        <v>20328.53</v>
      </c>
      <c r="AI20" s="170">
        <f>IF('TABLE 4 - October 2016 Dataset'!Z20&gt;0,('TABLE 4 - October 2016 Dataset'!Z20*(1+'TABLE 1 - 2018-19 Provisional'!AI$79)*(1+AI$79))-((AI$76*SUM('TABLE 4 - October 2016 Dataset'!F20:H20))+AI$77),0)</f>
        <v>0</v>
      </c>
      <c r="AJ20" s="166" t="str">
        <f>IF('TABLE 4 - October 2016 Dataset'!AA20="Yes",'TABLE 2 - 2019-20 Illustrative'!AJ$76*SUM('TABLE 4 - October 2016 Dataset'!F20:H20),"")</f>
        <v/>
      </c>
      <c r="AK20" s="140">
        <f t="shared" si="13"/>
        <v>0</v>
      </c>
      <c r="AL20" s="94">
        <f t="shared" si="14"/>
        <v>893004.85977882997</v>
      </c>
      <c r="AM20" s="103"/>
      <c r="AN20" s="80">
        <f t="shared" si="2"/>
        <v>872676.32977882994</v>
      </c>
      <c r="AO20" s="165">
        <f>AN20/SUM('TABLE 4 - October 2016 Dataset'!F20:H20)</f>
        <v>3449.3135564380632</v>
      </c>
      <c r="AP20" s="165">
        <f t="shared" si="3"/>
        <v>50.686443561936812</v>
      </c>
      <c r="AQ20" s="165">
        <f>AP20*SUM('TABLE 4 - October 2016 Dataset'!F20:H20)</f>
        <v>12823.670221170014</v>
      </c>
      <c r="AR20" s="94">
        <f t="shared" si="15"/>
        <v>905828.53</v>
      </c>
      <c r="AS20" s="103"/>
      <c r="AT20" s="80">
        <f>N20-(AF20+AG20+'TABLE 4 - October 2016 Dataset'!Y20)</f>
        <v>696747.01038323564</v>
      </c>
      <c r="AU20" s="187">
        <f t="shared" si="16"/>
        <v>775500</v>
      </c>
      <c r="AV20" s="165">
        <f t="shared" si="17"/>
        <v>2753.9407525029078</v>
      </c>
      <c r="AW20" s="165">
        <f>AU20/SUM('TABLE 4 - October 2016 Dataset'!F20:H20)</f>
        <v>3065.217391304348</v>
      </c>
      <c r="AX20" s="173">
        <f t="shared" si="18"/>
        <v>0.11302953359419132</v>
      </c>
      <c r="AY20" s="173">
        <f t="shared" si="19"/>
        <v>0</v>
      </c>
      <c r="AZ20" s="175">
        <f t="shared" si="20"/>
        <v>0</v>
      </c>
      <c r="BA20" s="165">
        <f t="shared" si="21"/>
        <v>0</v>
      </c>
      <c r="BB20" s="94">
        <f t="shared" si="22"/>
        <v>905828.53</v>
      </c>
      <c r="BC20" s="103"/>
      <c r="BD20" s="184">
        <f>'TABLE 1 - 2018-19 Provisional'!BR20-('TABLE 2 - 2019-20 Illustrative'!AF20+'TABLE 2 - 2019-20 Illustrative'!AG20+'TABLE 1 - 2018-19 Provisional'!AH20)</f>
        <v>724900</v>
      </c>
      <c r="BE20" s="165">
        <f>BD20/SUM('TABLE 4 - October 2016 Dataset'!F20:H20)</f>
        <v>2865.217391304348</v>
      </c>
      <c r="BF20" s="173">
        <f t="shared" si="23"/>
        <v>4.0406329983790235E-2</v>
      </c>
      <c r="BG20" s="173">
        <f t="shared" si="24"/>
        <v>6.9802731411229058E-2</v>
      </c>
      <c r="BH20" s="173">
        <f>'TABLE 1 - 2018-19 Provisional'!BF20</f>
        <v>0.11302953359419132</v>
      </c>
      <c r="BI20" s="185">
        <f t="shared" si="4"/>
        <v>1.3960546282245813E-2</v>
      </c>
      <c r="BJ20" s="185">
        <f t="shared" si="5"/>
        <v>0.03</v>
      </c>
      <c r="BK20" s="173">
        <f t="shared" si="6"/>
        <v>-3.9802731411229059E-2</v>
      </c>
      <c r="BL20" s="175">
        <f t="shared" si="7"/>
        <v>-114.04347826086935</v>
      </c>
      <c r="BM20" s="165">
        <f>BL20*SUM('TABLE 4 - October 2016 Dataset'!F20:H20)</f>
        <v>-28852.999999999945</v>
      </c>
      <c r="BN20" s="94">
        <f t="shared" si="8"/>
        <v>876975.53</v>
      </c>
      <c r="BO20" s="103"/>
      <c r="BP20" s="179">
        <f t="shared" si="9"/>
        <v>856647</v>
      </c>
      <c r="BQ20" s="175">
        <f>BP20/SUM('TABLE 4 - October 2016 Dataset'!F20:H20)</f>
        <v>3385.9565217391305</v>
      </c>
      <c r="BR20" s="175">
        <f t="shared" si="25"/>
        <v>114.04347826086951</v>
      </c>
      <c r="BS20" s="175">
        <f>BR20*SUM('TABLE 4 - October 2016 Dataset'!F20:H20)</f>
        <v>28852.999999999985</v>
      </c>
      <c r="BT20" s="94">
        <f t="shared" si="26"/>
        <v>905828.53</v>
      </c>
      <c r="BU20" s="103"/>
      <c r="BV20" s="80">
        <f t="shared" si="27"/>
        <v>827075.54038323567</v>
      </c>
      <c r="BW20" s="122">
        <f t="shared" si="28"/>
        <v>3269.0732821471765</v>
      </c>
      <c r="BX20" s="264">
        <f t="shared" si="29"/>
        <v>905828.53</v>
      </c>
      <c r="BY20" s="81">
        <f>BX20/SUM('TABLE 4 - October 2016 Dataset'!F20:H20)</f>
        <v>3580.3499209486167</v>
      </c>
      <c r="BZ20" s="264">
        <f t="shared" si="30"/>
        <v>78752.98961676436</v>
      </c>
      <c r="CA20" s="81">
        <f t="shared" si="31"/>
        <v>311.27663880144019</v>
      </c>
      <c r="CB20" s="269">
        <f t="shared" si="32"/>
        <v>9.5218617612936776E-2</v>
      </c>
      <c r="CC20" s="103"/>
      <c r="CD20" s="80">
        <f>'TABLE 5 - DfE Published Figures'!O19</f>
        <v>906000</v>
      </c>
      <c r="CE20" s="84">
        <f t="shared" si="33"/>
        <v>0</v>
      </c>
      <c r="CF20" s="81"/>
      <c r="CG20" s="81"/>
      <c r="CH20" s="81"/>
      <c r="CI20" s="81"/>
      <c r="CJ20" s="2"/>
    </row>
    <row r="21" spans="2:88" ht="15.75">
      <c r="B21" s="198">
        <v>3152</v>
      </c>
      <c r="C21" s="60" t="s">
        <v>27</v>
      </c>
      <c r="D21" s="204"/>
      <c r="F21" s="80">
        <v>149</v>
      </c>
      <c r="G21" s="163"/>
      <c r="H21" s="164">
        <v>-1</v>
      </c>
      <c r="I21" s="94">
        <f t="shared" si="0"/>
        <v>148</v>
      </c>
      <c r="J21" s="103"/>
      <c r="K21" s="80">
        <v>554825.35785972222</v>
      </c>
      <c r="L21" s="163"/>
      <c r="M21" s="163"/>
      <c r="N21" s="94">
        <f t="shared" si="1"/>
        <v>554825.35785972222</v>
      </c>
      <c r="O21" s="103"/>
      <c r="P21" s="80">
        <f>P$76*'TABLE 4 - October 2016 Dataset'!F21</f>
        <v>406554.51999999996</v>
      </c>
      <c r="Q21" s="160"/>
      <c r="R21" s="161"/>
      <c r="S21" s="162">
        <f t="shared" si="10"/>
        <v>406554.51999999996</v>
      </c>
      <c r="T21" s="165">
        <f>T$76*'TABLE 4 - October 2016 Dataset'!I21</f>
        <v>3080</v>
      </c>
      <c r="U21" s="165">
        <f>U$76*'TABLE 4 - October 2016 Dataset'!J21</f>
        <v>4409.3793103448279</v>
      </c>
      <c r="V21" s="165">
        <f>V$76*'TABLE 4 - October 2016 Dataset'!K21</f>
        <v>0</v>
      </c>
      <c r="W21" s="165">
        <f>W$76*'TABLE 4 - October 2016 Dataset'!L21</f>
        <v>0</v>
      </c>
      <c r="X21" s="165">
        <f>X$76*'TABLE 4 - October 2016 Dataset'!M21</f>
        <v>0</v>
      </c>
      <c r="Y21" s="165">
        <f>Y$76*'TABLE 4 - October 2016 Dataset'!N21</f>
        <v>0</v>
      </c>
      <c r="Z21" s="165">
        <f>Z$76*'TABLE 4 - October 2016 Dataset'!O21</f>
        <v>0</v>
      </c>
      <c r="AA21" s="165">
        <f>AA$76*'TABLE 4 - October 2016 Dataset'!P21</f>
        <v>0</v>
      </c>
      <c r="AB21" s="162">
        <f t="shared" si="11"/>
        <v>7489.3793103448279</v>
      </c>
      <c r="AC21" s="140">
        <f>AC$76*'TABLE 4 - October 2016 Dataset'!Q21</f>
        <v>25218.175379575925</v>
      </c>
      <c r="AD21" s="140">
        <f>AD$76*'TABLE 4 - October 2016 Dataset'!R21</f>
        <v>573.082706766917</v>
      </c>
      <c r="AE21" s="140">
        <f>AE$76*'TABLE 4 - October 2016 Dataset'!S21</f>
        <v>0</v>
      </c>
      <c r="AF21" s="140">
        <f t="shared" si="12"/>
        <v>110000</v>
      </c>
      <c r="AG21" s="140">
        <f>IF('TABLE 4 - October 2016 Dataset'!X21="No",0,"*CHECK*")</f>
        <v>0</v>
      </c>
      <c r="AH21" s="140">
        <f>'TABLE 4 - October 2016 Dataset'!Y21</f>
        <v>15480</v>
      </c>
      <c r="AI21" s="170">
        <f>IF('TABLE 4 - October 2016 Dataset'!Z21&gt;0,('TABLE 4 - October 2016 Dataset'!Z21*(1+'TABLE 1 - 2018-19 Provisional'!AI$79)*(1+AI$79))-((AI$76*SUM('TABLE 4 - October 2016 Dataset'!F21:H21))+AI$77),0)</f>
        <v>0</v>
      </c>
      <c r="AJ21" s="166" t="str">
        <f>IF('TABLE 4 - October 2016 Dataset'!AA21="Yes",'TABLE 2 - 2019-20 Illustrative'!AJ$76*SUM('TABLE 4 - October 2016 Dataset'!F21:H21),"")</f>
        <v/>
      </c>
      <c r="AK21" s="140">
        <f t="shared" si="13"/>
        <v>0</v>
      </c>
      <c r="AL21" s="94">
        <f t="shared" si="14"/>
        <v>565315.15739668766</v>
      </c>
      <c r="AM21" s="103"/>
      <c r="AN21" s="80">
        <f t="shared" si="2"/>
        <v>549835.15739668766</v>
      </c>
      <c r="AO21" s="165">
        <f>AN21/SUM('TABLE 4 - October 2016 Dataset'!F21:H21)</f>
        <v>3715.102414842484</v>
      </c>
      <c r="AP21" s="165">
        <f t="shared" si="3"/>
        <v>0</v>
      </c>
      <c r="AQ21" s="165">
        <f>AP21*SUM('TABLE 4 - October 2016 Dataset'!F21:H21)</f>
        <v>0</v>
      </c>
      <c r="AR21" s="94">
        <f t="shared" si="15"/>
        <v>565315.15739668766</v>
      </c>
      <c r="AS21" s="103"/>
      <c r="AT21" s="80">
        <f>N21-(AF21+AG21+'TABLE 4 - October 2016 Dataset'!Y21)</f>
        <v>429345.35785972222</v>
      </c>
      <c r="AU21" s="187">
        <f t="shared" si="16"/>
        <v>439835.15739668766</v>
      </c>
      <c r="AV21" s="165">
        <f t="shared" si="17"/>
        <v>2900.9821477008259</v>
      </c>
      <c r="AW21" s="165">
        <f>AU21/SUM('TABLE 4 - October 2016 Dataset'!F21:H21)</f>
        <v>2971.8591715992411</v>
      </c>
      <c r="AX21" s="173">
        <f t="shared" si="18"/>
        <v>2.443207861675023E-2</v>
      </c>
      <c r="AY21" s="173">
        <f t="shared" si="19"/>
        <v>0</v>
      </c>
      <c r="AZ21" s="175">
        <f t="shared" si="20"/>
        <v>0</v>
      </c>
      <c r="BA21" s="165">
        <f t="shared" si="21"/>
        <v>0</v>
      </c>
      <c r="BB21" s="94">
        <f t="shared" si="22"/>
        <v>565315.15739668766</v>
      </c>
      <c r="BC21" s="103"/>
      <c r="BD21" s="184">
        <f>'TABLE 1 - 2018-19 Provisional'!BR21-('TABLE 2 - 2019-20 Illustrative'!AF21+'TABLE 2 - 2019-20 Illustrative'!AG21+'TABLE 1 - 2018-19 Provisional'!AH21)</f>
        <v>439835.15739668766</v>
      </c>
      <c r="BE21" s="165">
        <f>BD21/SUM('TABLE 4 - October 2016 Dataset'!F21:H21)</f>
        <v>2971.8591715992411</v>
      </c>
      <c r="BF21" s="173">
        <f t="shared" si="23"/>
        <v>2.443207861675023E-2</v>
      </c>
      <c r="BG21" s="173">
        <f t="shared" si="24"/>
        <v>0</v>
      </c>
      <c r="BH21" s="173">
        <f>'TABLE 1 - 2018-19 Provisional'!BF21</f>
        <v>2.443207861675023E-2</v>
      </c>
      <c r="BI21" s="185">
        <f t="shared" si="4"/>
        <v>0</v>
      </c>
      <c r="BJ21" s="185">
        <f t="shared" si="5"/>
        <v>0</v>
      </c>
      <c r="BK21" s="173">
        <f t="shared" si="6"/>
        <v>0</v>
      </c>
      <c r="BL21" s="175">
        <f t="shared" si="7"/>
        <v>0</v>
      </c>
      <c r="BM21" s="165">
        <f>BL21*SUM('TABLE 4 - October 2016 Dataset'!F21:H21)</f>
        <v>0</v>
      </c>
      <c r="BN21" s="94">
        <f t="shared" si="8"/>
        <v>565315.15739668766</v>
      </c>
      <c r="BO21" s="103"/>
      <c r="BP21" s="179">
        <f t="shared" si="9"/>
        <v>549835.15739668766</v>
      </c>
      <c r="BQ21" s="175">
        <f>BP21/SUM('TABLE 4 - October 2016 Dataset'!F21:H21)</f>
        <v>3715.102414842484</v>
      </c>
      <c r="BR21" s="175">
        <f t="shared" si="25"/>
        <v>0</v>
      </c>
      <c r="BS21" s="175">
        <f>BR21*SUM('TABLE 4 - October 2016 Dataset'!F21:H21)</f>
        <v>0</v>
      </c>
      <c r="BT21" s="94">
        <f t="shared" si="26"/>
        <v>565315.15739668766</v>
      </c>
      <c r="BU21" s="103"/>
      <c r="BV21" s="80">
        <f t="shared" si="27"/>
        <v>554825.35785972222</v>
      </c>
      <c r="BW21" s="122">
        <f t="shared" si="28"/>
        <v>3748.8199855386638</v>
      </c>
      <c r="BX21" s="264">
        <f t="shared" si="29"/>
        <v>565315.15739668766</v>
      </c>
      <c r="BY21" s="81">
        <f>BX21/SUM('TABLE 4 - October 2016 Dataset'!F21:H21)</f>
        <v>3819.6970094370786</v>
      </c>
      <c r="BZ21" s="264">
        <f t="shared" si="30"/>
        <v>10489.799536965438</v>
      </c>
      <c r="CA21" s="81">
        <f t="shared" si="31"/>
        <v>70.877023898414791</v>
      </c>
      <c r="CB21" s="269">
        <f t="shared" si="32"/>
        <v>1.8906489021032723E-2</v>
      </c>
      <c r="CC21" s="103"/>
      <c r="CD21" s="80">
        <f>'TABLE 5 - DfE Published Figures'!O20</f>
        <v>565000</v>
      </c>
      <c r="CE21" s="84">
        <f t="shared" si="33"/>
        <v>0</v>
      </c>
      <c r="CF21" s="81"/>
      <c r="CG21" s="81"/>
      <c r="CH21" s="81"/>
      <c r="CI21" s="81"/>
      <c r="CJ21" s="2"/>
    </row>
    <row r="22" spans="2:88" ht="15.75">
      <c r="B22" s="198">
        <v>2008</v>
      </c>
      <c r="C22" s="60" t="s">
        <v>28</v>
      </c>
      <c r="D22" s="204"/>
      <c r="F22" s="80">
        <v>287</v>
      </c>
      <c r="G22" s="163"/>
      <c r="H22" s="164">
        <v>0</v>
      </c>
      <c r="I22" s="94">
        <f t="shared" si="0"/>
        <v>287</v>
      </c>
      <c r="J22" s="103"/>
      <c r="K22" s="80">
        <v>1000943.7304640468</v>
      </c>
      <c r="L22" s="163"/>
      <c r="M22" s="163"/>
      <c r="N22" s="94">
        <f t="shared" si="1"/>
        <v>1000943.7304640468</v>
      </c>
      <c r="O22" s="103"/>
      <c r="P22" s="80">
        <f>P$76*'TABLE 4 - October 2016 Dataset'!F22</f>
        <v>788386.12999999989</v>
      </c>
      <c r="Q22" s="160"/>
      <c r="R22" s="161"/>
      <c r="S22" s="162">
        <f t="shared" si="10"/>
        <v>788386.12999999989</v>
      </c>
      <c r="T22" s="165">
        <f>T$76*'TABLE 4 - October 2016 Dataset'!I22</f>
        <v>8800.0000000000018</v>
      </c>
      <c r="U22" s="165">
        <f>U$76*'TABLE 4 - October 2016 Dataset'!J22</f>
        <v>23885.806451612905</v>
      </c>
      <c r="V22" s="165">
        <f>V$76*'TABLE 4 - October 2016 Dataset'!K22</f>
        <v>0</v>
      </c>
      <c r="W22" s="165">
        <f>W$76*'TABLE 4 - October 2016 Dataset'!L22</f>
        <v>5166.0000000000045</v>
      </c>
      <c r="X22" s="165">
        <f>X$76*'TABLE 4 - October 2016 Dataset'!M22</f>
        <v>12392.250000000033</v>
      </c>
      <c r="Y22" s="165">
        <f>Y$76*'TABLE 4 - October 2016 Dataset'!N22</f>
        <v>1845.0000000000045</v>
      </c>
      <c r="Z22" s="165">
        <f>Z$76*'TABLE 4 - October 2016 Dataset'!O22</f>
        <v>2459.9999999999986</v>
      </c>
      <c r="AA22" s="165">
        <f>AA$76*'TABLE 4 - October 2016 Dataset'!P22</f>
        <v>2049.9999999999991</v>
      </c>
      <c r="AB22" s="162">
        <f t="shared" si="11"/>
        <v>56599.05645161296</v>
      </c>
      <c r="AC22" s="140">
        <f>AC$76*'TABLE 4 - October 2016 Dataset'!Q22</f>
        <v>76410.784570120974</v>
      </c>
      <c r="AD22" s="140">
        <f>AD$76*'TABLE 4 - October 2016 Dataset'!R22</f>
        <v>22924.85714285721</v>
      </c>
      <c r="AE22" s="140">
        <f>AE$76*'TABLE 4 - October 2016 Dataset'!S22</f>
        <v>0</v>
      </c>
      <c r="AF22" s="140">
        <f t="shared" si="12"/>
        <v>110000</v>
      </c>
      <c r="AG22" s="140">
        <f>IF('TABLE 4 - October 2016 Dataset'!X22="No",0,"*CHECK*")</f>
        <v>0</v>
      </c>
      <c r="AH22" s="140">
        <f>'TABLE 4 - October 2016 Dataset'!Y22</f>
        <v>13647.12</v>
      </c>
      <c r="AI22" s="170">
        <f>IF('TABLE 4 - October 2016 Dataset'!Z22&gt;0,('TABLE 4 - October 2016 Dataset'!Z22*(1+'TABLE 1 - 2018-19 Provisional'!AI$79)*(1+AI$79))-((AI$76*SUM('TABLE 4 - October 2016 Dataset'!F22:H22))+AI$77),0)</f>
        <v>0</v>
      </c>
      <c r="AJ22" s="166" t="str">
        <f>IF('TABLE 4 - October 2016 Dataset'!AA22="Yes",'TABLE 2 - 2019-20 Illustrative'!AJ$76*SUM('TABLE 4 - October 2016 Dataset'!F22:H22),"")</f>
        <v/>
      </c>
      <c r="AK22" s="140">
        <f t="shared" si="13"/>
        <v>0</v>
      </c>
      <c r="AL22" s="94">
        <f t="shared" si="14"/>
        <v>1067967.9481645911</v>
      </c>
      <c r="AM22" s="103"/>
      <c r="AN22" s="80">
        <f t="shared" si="2"/>
        <v>1054320.828164591</v>
      </c>
      <c r="AO22" s="165">
        <f>AN22/SUM('TABLE 4 - October 2016 Dataset'!F22:H22)</f>
        <v>3673.5917357651256</v>
      </c>
      <c r="AP22" s="165">
        <f t="shared" si="3"/>
        <v>0</v>
      </c>
      <c r="AQ22" s="165">
        <f>AP22*SUM('TABLE 4 - October 2016 Dataset'!F22:H22)</f>
        <v>0</v>
      </c>
      <c r="AR22" s="94">
        <f t="shared" si="15"/>
        <v>1067967.9481645911</v>
      </c>
      <c r="AS22" s="103"/>
      <c r="AT22" s="80">
        <f>N22-(AF22+AG22+'TABLE 4 - October 2016 Dataset'!Y22)</f>
        <v>877296.61046404683</v>
      </c>
      <c r="AU22" s="187">
        <f t="shared" si="16"/>
        <v>944320.8281645911</v>
      </c>
      <c r="AV22" s="165">
        <f t="shared" si="17"/>
        <v>3056.7826148573058</v>
      </c>
      <c r="AW22" s="165">
        <f>AU22/SUM('TABLE 4 - October 2016 Dataset'!F22:H22)</f>
        <v>3290.3164744410842</v>
      </c>
      <c r="AX22" s="173">
        <f t="shared" si="18"/>
        <v>7.6398582761070921E-2</v>
      </c>
      <c r="AY22" s="173">
        <f t="shared" si="19"/>
        <v>0</v>
      </c>
      <c r="AZ22" s="175">
        <f t="shared" si="20"/>
        <v>0</v>
      </c>
      <c r="BA22" s="165">
        <f t="shared" si="21"/>
        <v>0</v>
      </c>
      <c r="BB22" s="94">
        <f t="shared" si="22"/>
        <v>1067967.9481645911</v>
      </c>
      <c r="BC22" s="103"/>
      <c r="BD22" s="184">
        <f>'TABLE 1 - 2018-19 Provisional'!BR22-('TABLE 2 - 2019-20 Illustrative'!AF22+'TABLE 2 - 2019-20 Illustrative'!AG22+'TABLE 1 - 2018-19 Provisional'!AH22)</f>
        <v>903615.508777968</v>
      </c>
      <c r="BE22" s="165">
        <f>BD22/SUM('TABLE 4 - October 2016 Dataset'!F22:H22)</f>
        <v>3148.4860933030245</v>
      </c>
      <c r="BF22" s="173">
        <f t="shared" si="23"/>
        <v>2.9999999999999805E-2</v>
      </c>
      <c r="BG22" s="173">
        <f t="shared" si="24"/>
        <v>4.5047167729195037E-2</v>
      </c>
      <c r="BH22" s="173">
        <f>'TABLE 1 - 2018-19 Provisional'!BF22</f>
        <v>7.6398582761070921E-2</v>
      </c>
      <c r="BI22" s="185">
        <f t="shared" si="4"/>
        <v>9.0094335458390084E-3</v>
      </c>
      <c r="BJ22" s="185">
        <f t="shared" si="5"/>
        <v>0.03</v>
      </c>
      <c r="BK22" s="173">
        <f t="shared" si="6"/>
        <v>-1.5047167729195038E-2</v>
      </c>
      <c r="BL22" s="175">
        <f t="shared" si="7"/>
        <v>-47.375798338968629</v>
      </c>
      <c r="BM22" s="165">
        <f>BL22*SUM('TABLE 4 - October 2016 Dataset'!F22:H22)</f>
        <v>-13596.854123283996</v>
      </c>
      <c r="BN22" s="94">
        <f t="shared" si="8"/>
        <v>1054371.094041307</v>
      </c>
      <c r="BO22" s="103"/>
      <c r="BP22" s="179">
        <f t="shared" si="9"/>
        <v>1040723.974041307</v>
      </c>
      <c r="BQ22" s="175">
        <f>BP22/SUM('TABLE 4 - October 2016 Dataset'!F22:H22)</f>
        <v>3626.2159374261569</v>
      </c>
      <c r="BR22" s="175">
        <f t="shared" si="25"/>
        <v>0</v>
      </c>
      <c r="BS22" s="175">
        <f>BR22*SUM('TABLE 4 - October 2016 Dataset'!F22:H22)</f>
        <v>0</v>
      </c>
      <c r="BT22" s="94">
        <f t="shared" si="26"/>
        <v>1054371.094041307</v>
      </c>
      <c r="BU22" s="103"/>
      <c r="BV22" s="80">
        <f t="shared" si="27"/>
        <v>1000943.7304640468</v>
      </c>
      <c r="BW22" s="122">
        <f t="shared" si="28"/>
        <v>3487.6088169478985</v>
      </c>
      <c r="BX22" s="264">
        <f t="shared" si="29"/>
        <v>1054371.094041307</v>
      </c>
      <c r="BY22" s="81">
        <f>BX22/SUM('TABLE 4 - October 2016 Dataset'!F22:H22)</f>
        <v>3673.7668781927073</v>
      </c>
      <c r="BZ22" s="264">
        <f t="shared" si="30"/>
        <v>53427.36357726017</v>
      </c>
      <c r="CA22" s="81">
        <f t="shared" si="31"/>
        <v>186.15806124480878</v>
      </c>
      <c r="CB22" s="269">
        <f t="shared" si="32"/>
        <v>5.3376990085637177E-2</v>
      </c>
      <c r="CC22" s="103"/>
      <c r="CD22" s="80">
        <f>'TABLE 5 - DfE Published Figures'!O21</f>
        <v>1054000</v>
      </c>
      <c r="CE22" s="84">
        <f t="shared" si="33"/>
        <v>0</v>
      </c>
      <c r="CF22" s="81"/>
      <c r="CG22" s="81"/>
      <c r="CH22" s="81"/>
      <c r="CI22" s="81"/>
      <c r="CJ22" s="2"/>
    </row>
    <row r="23" spans="2:88" ht="15.75">
      <c r="B23" s="198">
        <v>2009</v>
      </c>
      <c r="C23" s="60" t="s">
        <v>29</v>
      </c>
      <c r="D23" s="204" t="s">
        <v>72</v>
      </c>
      <c r="F23" s="80">
        <v>171</v>
      </c>
      <c r="G23" s="108">
        <v>10</v>
      </c>
      <c r="H23" s="164">
        <v>-2</v>
      </c>
      <c r="I23" s="94">
        <f t="shared" si="0"/>
        <v>179</v>
      </c>
      <c r="J23" s="103"/>
      <c r="K23" s="80">
        <v>786704.97816000006</v>
      </c>
      <c r="L23" s="108">
        <v>37425.864809999999</v>
      </c>
      <c r="M23" s="163"/>
      <c r="N23" s="94">
        <f t="shared" si="1"/>
        <v>824130.84297000011</v>
      </c>
      <c r="O23" s="103"/>
      <c r="P23" s="80">
        <f>P$76*'TABLE 4 - October 2016 Dataset'!F23</f>
        <v>491711.20999999996</v>
      </c>
      <c r="Q23" s="160"/>
      <c r="R23" s="161"/>
      <c r="S23" s="162">
        <f t="shared" si="10"/>
        <v>491711.20999999996</v>
      </c>
      <c r="T23" s="165">
        <f>T$76*'TABLE 4 - October 2016 Dataset'!I23</f>
        <v>20680.000000000033</v>
      </c>
      <c r="U23" s="165">
        <f>U$76*'TABLE 4 - October 2016 Dataset'!J23</f>
        <v>47528.9502762431</v>
      </c>
      <c r="V23" s="165">
        <f>V$76*'TABLE 4 - October 2016 Dataset'!K23</f>
        <v>0</v>
      </c>
      <c r="W23" s="165">
        <f>W$76*'TABLE 4 - October 2016 Dataset'!L23</f>
        <v>3007.2000000000003</v>
      </c>
      <c r="X23" s="165">
        <f>X$76*'TABLE 4 - October 2016 Dataset'!M23</f>
        <v>1196.7428571428541</v>
      </c>
      <c r="Y23" s="165">
        <f>Y$76*'TABLE 4 - October 2016 Dataset'!N23</f>
        <v>19516.114285714295</v>
      </c>
      <c r="Z23" s="165">
        <f>Z$76*'TABLE 4 - October 2016 Dataset'!O23</f>
        <v>0</v>
      </c>
      <c r="AA23" s="165">
        <f>AA$76*'TABLE 4 - October 2016 Dataset'!P23</f>
        <v>11251.42857142856</v>
      </c>
      <c r="AB23" s="162">
        <f t="shared" si="11"/>
        <v>103180.43599052886</v>
      </c>
      <c r="AC23" s="140">
        <f>AC$76*'TABLE 4 - October 2016 Dataset'!Q23</f>
        <v>90257.379442864301</v>
      </c>
      <c r="AD23" s="140">
        <f>AD$76*'TABLE 4 - October 2016 Dataset'!R23</f>
        <v>12835.886075949375</v>
      </c>
      <c r="AE23" s="140">
        <f>AE$76*'TABLE 4 - October 2016 Dataset'!S23</f>
        <v>0</v>
      </c>
      <c r="AF23" s="140">
        <f t="shared" si="12"/>
        <v>110000</v>
      </c>
      <c r="AG23" s="140">
        <f>IF('TABLE 4 - October 2016 Dataset'!X23="No",0,"*CHECK*")</f>
        <v>0</v>
      </c>
      <c r="AH23" s="140">
        <f>'TABLE 4 - October 2016 Dataset'!Y23</f>
        <v>4207.8599999999997</v>
      </c>
      <c r="AI23" s="170">
        <f>IF('TABLE 4 - October 2016 Dataset'!Z23&gt;0,('TABLE 4 - October 2016 Dataset'!Z23*(1+'TABLE 1 - 2018-19 Provisional'!AI$79)*(1+AI$79))-((AI$76*SUM('TABLE 4 - October 2016 Dataset'!F23:H23))+AI$77),0)</f>
        <v>0</v>
      </c>
      <c r="AJ23" s="166" t="str">
        <f>IF('TABLE 4 - October 2016 Dataset'!AA23="Yes",'TABLE 2 - 2019-20 Illustrative'!AJ$76*SUM('TABLE 4 - October 2016 Dataset'!F23:H23),"")</f>
        <v/>
      </c>
      <c r="AK23" s="140">
        <f t="shared" si="13"/>
        <v>0</v>
      </c>
      <c r="AL23" s="94">
        <f t="shared" si="14"/>
        <v>812192.77150934259</v>
      </c>
      <c r="AM23" s="103"/>
      <c r="AN23" s="80">
        <f t="shared" si="2"/>
        <v>807984.91150934261</v>
      </c>
      <c r="AO23" s="165">
        <f>AN23/SUM('TABLE 4 - October 2016 Dataset'!F23:H23)</f>
        <v>4513.8821872030312</v>
      </c>
      <c r="AP23" s="165">
        <f t="shared" si="3"/>
        <v>0</v>
      </c>
      <c r="AQ23" s="165">
        <f>AP23*SUM('TABLE 4 - October 2016 Dataset'!F23:H23)</f>
        <v>0</v>
      </c>
      <c r="AR23" s="94">
        <f t="shared" si="15"/>
        <v>812192.77150934259</v>
      </c>
      <c r="AS23" s="103"/>
      <c r="AT23" s="80">
        <f>N23-(AF23+AG23+'TABLE 4 - October 2016 Dataset'!Y23)</f>
        <v>709922.98297000013</v>
      </c>
      <c r="AU23" s="187">
        <f t="shared" si="16"/>
        <v>697984.91150934261</v>
      </c>
      <c r="AV23" s="165">
        <f t="shared" si="17"/>
        <v>3966.050184189945</v>
      </c>
      <c r="AW23" s="165">
        <f>AU23/SUM('TABLE 4 - October 2016 Dataset'!F23:H23)</f>
        <v>3899.3570475382267</v>
      </c>
      <c r="AX23" s="173">
        <f t="shared" si="18"/>
        <v>-1.6816009267250354E-2</v>
      </c>
      <c r="AY23" s="173">
        <f t="shared" si="19"/>
        <v>2.6816009267250356E-2</v>
      </c>
      <c r="AZ23" s="175">
        <f t="shared" si="20"/>
        <v>106.35363849361754</v>
      </c>
      <c r="BA23" s="165">
        <f t="shared" si="21"/>
        <v>19037.30129035754</v>
      </c>
      <c r="BB23" s="94">
        <f t="shared" si="22"/>
        <v>831230.07279970008</v>
      </c>
      <c r="BC23" s="103"/>
      <c r="BD23" s="184">
        <f>'TABLE 1 - 2018-19 Provisional'!BR23-('TABLE 2 - 2019-20 Illustrative'!AF23+'TABLE 2 - 2019-20 Illustrative'!AG23+'TABLE 1 - 2018-19 Provisional'!AH23)</f>
        <v>713472.59788485011</v>
      </c>
      <c r="BE23" s="165">
        <f>BD23/SUM('TABLE 4 - October 2016 Dataset'!F23:H23)</f>
        <v>3985.8804351108943</v>
      </c>
      <c r="BF23" s="173">
        <f t="shared" si="23"/>
        <v>4.9999999999998934E-3</v>
      </c>
      <c r="BG23" s="173">
        <f t="shared" si="24"/>
        <v>-2.1707471907711717E-2</v>
      </c>
      <c r="BH23" s="173">
        <f>'TABLE 1 - 2018-19 Provisional'!BF23</f>
        <v>-1.6816009267250354E-2</v>
      </c>
      <c r="BI23" s="185" t="str">
        <f t="shared" si="4"/>
        <v xml:space="preserve">            NA</v>
      </c>
      <c r="BJ23" s="185">
        <f t="shared" si="5"/>
        <v>5.0000000000000001E-3</v>
      </c>
      <c r="BK23" s="173">
        <f t="shared" si="6"/>
        <v>0</v>
      </c>
      <c r="BL23" s="175">
        <f t="shared" si="7"/>
        <v>0</v>
      </c>
      <c r="BM23" s="165">
        <f>BL23*SUM('TABLE 4 - October 2016 Dataset'!F23:H23)</f>
        <v>0</v>
      </c>
      <c r="BN23" s="94">
        <f t="shared" si="8"/>
        <v>831230.07279970008</v>
      </c>
      <c r="BO23" s="103"/>
      <c r="BP23" s="179">
        <f t="shared" si="9"/>
        <v>827022.21279970009</v>
      </c>
      <c r="BQ23" s="175">
        <f>BP23/SUM('TABLE 4 - October 2016 Dataset'!F23:H23)</f>
        <v>4620.2358256966481</v>
      </c>
      <c r="BR23" s="175">
        <f t="shared" si="25"/>
        <v>0</v>
      </c>
      <c r="BS23" s="175">
        <f>BR23*SUM('TABLE 4 - October 2016 Dataset'!F23:H23)</f>
        <v>0</v>
      </c>
      <c r="BT23" s="94">
        <f t="shared" si="26"/>
        <v>831230.07279970008</v>
      </c>
      <c r="BU23" s="103"/>
      <c r="BV23" s="80">
        <f t="shared" si="27"/>
        <v>824130.84297000011</v>
      </c>
      <c r="BW23" s="122">
        <f t="shared" si="28"/>
        <v>4604.0829216201128</v>
      </c>
      <c r="BX23" s="264">
        <f t="shared" si="29"/>
        <v>831230.07279970008</v>
      </c>
      <c r="BY23" s="81">
        <f>BX23/SUM('TABLE 4 - October 2016 Dataset'!F23:H23)</f>
        <v>4643.7434234620114</v>
      </c>
      <c r="BZ23" s="264">
        <f t="shared" si="30"/>
        <v>7099.2298296999652</v>
      </c>
      <c r="CA23" s="81">
        <f t="shared" si="31"/>
        <v>39.660501841898622</v>
      </c>
      <c r="CB23" s="269">
        <f t="shared" si="32"/>
        <v>8.6142023323816774E-3</v>
      </c>
      <c r="CC23" s="103"/>
      <c r="CD23" s="80">
        <f>'TABLE 5 - DfE Published Figures'!O22</f>
        <v>830000</v>
      </c>
      <c r="CE23" s="84">
        <f t="shared" si="33"/>
        <v>1000</v>
      </c>
      <c r="CF23" s="81"/>
      <c r="CG23" s="81"/>
      <c r="CH23" s="81"/>
      <c r="CI23" s="81"/>
      <c r="CJ23" s="2"/>
    </row>
    <row r="24" spans="2:88" ht="15.75">
      <c r="B24" s="198">
        <v>2241</v>
      </c>
      <c r="C24" s="60" t="s">
        <v>30</v>
      </c>
      <c r="D24" s="204"/>
      <c r="F24" s="80">
        <v>302</v>
      </c>
      <c r="G24" s="163"/>
      <c r="H24" s="164">
        <v>-1</v>
      </c>
      <c r="I24" s="94">
        <f t="shared" si="0"/>
        <v>301</v>
      </c>
      <c r="J24" s="103"/>
      <c r="K24" s="80">
        <v>965319.87820364896</v>
      </c>
      <c r="L24" s="163"/>
      <c r="M24" s="163"/>
      <c r="N24" s="94">
        <f t="shared" si="1"/>
        <v>965319.87820364896</v>
      </c>
      <c r="O24" s="103"/>
      <c r="P24" s="80">
        <f>P$76*'TABLE 4 - October 2016 Dataset'!F24</f>
        <v>826843.99</v>
      </c>
      <c r="Q24" s="160"/>
      <c r="R24" s="161"/>
      <c r="S24" s="162">
        <f t="shared" si="10"/>
        <v>826843.99</v>
      </c>
      <c r="T24" s="165">
        <f>T$76*'TABLE 4 - October 2016 Dataset'!I24</f>
        <v>5280.0000000000009</v>
      </c>
      <c r="U24" s="165">
        <f>U$76*'TABLE 4 - October 2016 Dataset'!J24</f>
        <v>7501.1973055880599</v>
      </c>
      <c r="V24" s="165">
        <f>V$76*'TABLE 4 - October 2016 Dataset'!K24</f>
        <v>0</v>
      </c>
      <c r="W24" s="165">
        <f>W$76*'TABLE 4 - October 2016 Dataset'!L24</f>
        <v>0</v>
      </c>
      <c r="X24" s="165">
        <f>X$76*'TABLE 4 - October 2016 Dataset'!M24</f>
        <v>0</v>
      </c>
      <c r="Y24" s="165">
        <f>Y$76*'TABLE 4 - October 2016 Dataset'!N24</f>
        <v>0</v>
      </c>
      <c r="Z24" s="165">
        <f>Z$76*'TABLE 4 - October 2016 Dataset'!O24</f>
        <v>966.42140468227558</v>
      </c>
      <c r="AA24" s="165">
        <f>AA$76*'TABLE 4 - October 2016 Dataset'!P24</f>
        <v>0</v>
      </c>
      <c r="AB24" s="162">
        <f t="shared" si="11"/>
        <v>13747.618710270337</v>
      </c>
      <c r="AC24" s="140">
        <f>AC$76*'TABLE 4 - October 2016 Dataset'!Q24</f>
        <v>85743.131124230989</v>
      </c>
      <c r="AD24" s="140">
        <f>AD$76*'TABLE 4 - October 2016 Dataset'!R24</f>
        <v>4697.424242424242</v>
      </c>
      <c r="AE24" s="140">
        <f>AE$76*'TABLE 4 - October 2016 Dataset'!S24</f>
        <v>0</v>
      </c>
      <c r="AF24" s="140">
        <f t="shared" si="12"/>
        <v>110000</v>
      </c>
      <c r="AG24" s="140">
        <f>IF('TABLE 4 - October 2016 Dataset'!X24="No",0,"*CHECK*")</f>
        <v>0</v>
      </c>
      <c r="AH24" s="140">
        <f>'TABLE 4 - October 2016 Dataset'!Y24</f>
        <v>20328.53</v>
      </c>
      <c r="AI24" s="170">
        <f>IF('TABLE 4 - October 2016 Dataset'!Z24&gt;0,('TABLE 4 - October 2016 Dataset'!Z24*(1+'TABLE 1 - 2018-19 Provisional'!AI$79)*(1+AI$79))-((AI$76*SUM('TABLE 4 - October 2016 Dataset'!F24:H24))+AI$77),0)</f>
        <v>0</v>
      </c>
      <c r="AJ24" s="166" t="str">
        <f>IF('TABLE 4 - October 2016 Dataset'!AA24="Yes",'TABLE 2 - 2019-20 Illustrative'!AJ$76*SUM('TABLE 4 - October 2016 Dataset'!F24:H24),"")</f>
        <v/>
      </c>
      <c r="AK24" s="140">
        <f t="shared" si="13"/>
        <v>0</v>
      </c>
      <c r="AL24" s="94">
        <f t="shared" si="14"/>
        <v>1061360.6940769255</v>
      </c>
      <c r="AM24" s="103"/>
      <c r="AN24" s="80">
        <f t="shared" si="2"/>
        <v>1041032.1640769255</v>
      </c>
      <c r="AO24" s="165">
        <f>AN24/SUM('TABLE 4 - October 2016 Dataset'!F24:H24)</f>
        <v>3458.5786181957656</v>
      </c>
      <c r="AP24" s="165">
        <f t="shared" si="3"/>
        <v>41.421381804234443</v>
      </c>
      <c r="AQ24" s="165">
        <f>AP24*SUM('TABLE 4 - October 2016 Dataset'!F24:H24)</f>
        <v>12467.835923074566</v>
      </c>
      <c r="AR24" s="94">
        <f t="shared" si="15"/>
        <v>1073828.53</v>
      </c>
      <c r="AS24" s="103"/>
      <c r="AT24" s="80">
        <f>N24-(AF24+AG24+'TABLE 4 - October 2016 Dataset'!Y24)</f>
        <v>834991.34820364893</v>
      </c>
      <c r="AU24" s="187">
        <f t="shared" si="16"/>
        <v>943500</v>
      </c>
      <c r="AV24" s="165">
        <f t="shared" si="17"/>
        <v>2774.0576352280696</v>
      </c>
      <c r="AW24" s="165">
        <f>AU24/SUM('TABLE 4 - October 2016 Dataset'!F24:H24)</f>
        <v>3134.5514950166112</v>
      </c>
      <c r="AX24" s="173">
        <f t="shared" si="18"/>
        <v>0.12995182768035884</v>
      </c>
      <c r="AY24" s="173">
        <f t="shared" si="19"/>
        <v>0</v>
      </c>
      <c r="AZ24" s="175">
        <f t="shared" si="20"/>
        <v>0</v>
      </c>
      <c r="BA24" s="165">
        <f t="shared" si="21"/>
        <v>0</v>
      </c>
      <c r="BB24" s="94">
        <f t="shared" si="22"/>
        <v>1073828.53</v>
      </c>
      <c r="BC24" s="103"/>
      <c r="BD24" s="184">
        <f>'TABLE 1 - 2018-19 Provisional'!BR24-('TABLE 2 - 2019-20 Illustrative'!AF24+'TABLE 2 - 2019-20 Illustrative'!AG24+'TABLE 1 - 2018-19 Provisional'!AH24)</f>
        <v>883300</v>
      </c>
      <c r="BE24" s="165">
        <f>BD24/SUM('TABLE 4 - October 2016 Dataset'!F24:H24)</f>
        <v>2934.5514950166112</v>
      </c>
      <c r="BF24" s="173">
        <f t="shared" si="23"/>
        <v>5.7855272273514391E-2</v>
      </c>
      <c r="BG24" s="173">
        <f t="shared" si="24"/>
        <v>6.8153515226989647E-2</v>
      </c>
      <c r="BH24" s="173">
        <f>'TABLE 1 - 2018-19 Provisional'!BF24</f>
        <v>0.12995182768035884</v>
      </c>
      <c r="BI24" s="185">
        <f t="shared" si="4"/>
        <v>1.3630703045397929E-2</v>
      </c>
      <c r="BJ24" s="185">
        <f t="shared" si="5"/>
        <v>0.03</v>
      </c>
      <c r="BK24" s="173">
        <f t="shared" si="6"/>
        <v>-3.8153515226989648E-2</v>
      </c>
      <c r="BL24" s="175">
        <f t="shared" si="7"/>
        <v>-111.96345514950151</v>
      </c>
      <c r="BM24" s="165">
        <f>BL24*SUM('TABLE 4 - October 2016 Dataset'!F24:H24)</f>
        <v>-33700.999999999956</v>
      </c>
      <c r="BN24" s="94">
        <f t="shared" si="8"/>
        <v>1040127.53</v>
      </c>
      <c r="BO24" s="103"/>
      <c r="BP24" s="179">
        <f t="shared" si="9"/>
        <v>1019799</v>
      </c>
      <c r="BQ24" s="175">
        <f>BP24/SUM('TABLE 4 - October 2016 Dataset'!F24:H24)</f>
        <v>3388.0365448504986</v>
      </c>
      <c r="BR24" s="175">
        <f t="shared" si="25"/>
        <v>111.96345514950144</v>
      </c>
      <c r="BS24" s="175">
        <f>BR24*SUM('TABLE 4 - October 2016 Dataset'!F24:H24)</f>
        <v>33700.999999999935</v>
      </c>
      <c r="BT24" s="94">
        <f t="shared" si="26"/>
        <v>1073828.53</v>
      </c>
      <c r="BU24" s="103"/>
      <c r="BV24" s="80">
        <f t="shared" si="27"/>
        <v>965319.87820364896</v>
      </c>
      <c r="BW24" s="122">
        <f t="shared" si="28"/>
        <v>3207.0427847297306</v>
      </c>
      <c r="BX24" s="264">
        <f t="shared" si="29"/>
        <v>1073828.53</v>
      </c>
      <c r="BY24" s="81">
        <f>BX24/SUM('TABLE 4 - October 2016 Dataset'!F24:H24)</f>
        <v>3567.5366445182726</v>
      </c>
      <c r="BZ24" s="264">
        <f t="shared" si="30"/>
        <v>108508.65179635107</v>
      </c>
      <c r="CA24" s="81">
        <f t="shared" si="31"/>
        <v>360.49385978854207</v>
      </c>
      <c r="CB24" s="269">
        <f t="shared" si="32"/>
        <v>0.11240693810042894</v>
      </c>
      <c r="CC24" s="103"/>
      <c r="CD24" s="80">
        <f>'TABLE 5 - DfE Published Figures'!O23</f>
        <v>1074000</v>
      </c>
      <c r="CE24" s="84">
        <f t="shared" si="33"/>
        <v>0</v>
      </c>
      <c r="CF24" s="81"/>
      <c r="CG24" s="81"/>
      <c r="CH24" s="81"/>
      <c r="CI24" s="81"/>
      <c r="CJ24" s="2"/>
    </row>
    <row r="25" spans="2:88" ht="15.75">
      <c r="B25" s="198">
        <v>2001</v>
      </c>
      <c r="C25" s="60" t="s">
        <v>31</v>
      </c>
      <c r="D25" s="204" t="s">
        <v>70</v>
      </c>
      <c r="F25" s="80">
        <v>426</v>
      </c>
      <c r="G25" s="163"/>
      <c r="H25" s="164">
        <v>0</v>
      </c>
      <c r="I25" s="94">
        <f t="shared" si="0"/>
        <v>426</v>
      </c>
      <c r="J25" s="103"/>
      <c r="K25" s="80">
        <v>1279867.1410463352</v>
      </c>
      <c r="L25" s="163"/>
      <c r="M25" s="163"/>
      <c r="N25" s="94">
        <f t="shared" si="1"/>
        <v>1279867.1410463352</v>
      </c>
      <c r="O25" s="103"/>
      <c r="P25" s="80">
        <f>P$76*'TABLE 4 - October 2016 Dataset'!F25</f>
        <v>1170217.74</v>
      </c>
      <c r="Q25" s="160"/>
      <c r="R25" s="161"/>
      <c r="S25" s="162">
        <f t="shared" si="10"/>
        <v>1170217.74</v>
      </c>
      <c r="T25" s="165">
        <f>T$76*'TABLE 4 - October 2016 Dataset'!I25</f>
        <v>4840.0000000000082</v>
      </c>
      <c r="U25" s="165">
        <f>U$76*'TABLE 4 - October 2016 Dataset'!J25</f>
        <v>7613.6170212765956</v>
      </c>
      <c r="V25" s="165">
        <f>V$76*'TABLE 4 - October 2016 Dataset'!K25</f>
        <v>0</v>
      </c>
      <c r="W25" s="165">
        <f>W$76*'TABLE 4 - October 2016 Dataset'!L25</f>
        <v>0</v>
      </c>
      <c r="X25" s="165">
        <f>X$76*'TABLE 4 - October 2016 Dataset'!M25</f>
        <v>390.91764705882383</v>
      </c>
      <c r="Y25" s="165">
        <f>Y$76*'TABLE 4 - October 2016 Dataset'!N25</f>
        <v>721.69411764705933</v>
      </c>
      <c r="Z25" s="165">
        <f>Z$76*'TABLE 4 - October 2016 Dataset'!O25</f>
        <v>0</v>
      </c>
      <c r="AA25" s="165">
        <f>AA$76*'TABLE 4 - October 2016 Dataset'!P25</f>
        <v>7617.8823529411802</v>
      </c>
      <c r="AB25" s="162">
        <f t="shared" si="11"/>
        <v>21184.111138923668</v>
      </c>
      <c r="AC25" s="140">
        <f>AC$76*'TABLE 4 - October 2016 Dataset'!Q25</f>
        <v>107646.80154038552</v>
      </c>
      <c r="AD25" s="140">
        <f>AD$76*'TABLE 4 - October 2016 Dataset'!R25</f>
        <v>1803.2054794520545</v>
      </c>
      <c r="AE25" s="140">
        <f>AE$76*'TABLE 4 - October 2016 Dataset'!S25</f>
        <v>0</v>
      </c>
      <c r="AF25" s="140">
        <f t="shared" si="12"/>
        <v>110000</v>
      </c>
      <c r="AG25" s="140">
        <f>IF('TABLE 4 - October 2016 Dataset'!X25="No",0,"*CHECK*")</f>
        <v>0</v>
      </c>
      <c r="AH25" s="140">
        <f>'TABLE 4 - October 2016 Dataset'!Y25</f>
        <v>3781.39</v>
      </c>
      <c r="AI25" s="170">
        <f>IF('TABLE 4 - October 2016 Dataset'!Z25&gt;0,('TABLE 4 - October 2016 Dataset'!Z25*(1+'TABLE 1 - 2018-19 Provisional'!AI$79)*(1+AI$79))-((AI$76*SUM('TABLE 4 - October 2016 Dataset'!F25:H25))+AI$77),0)</f>
        <v>0</v>
      </c>
      <c r="AJ25" s="166" t="str">
        <f>IF('TABLE 4 - October 2016 Dataset'!AA25="Yes",'TABLE 2 - 2019-20 Illustrative'!AJ$76*SUM('TABLE 4 - October 2016 Dataset'!F25:H25),"")</f>
        <v/>
      </c>
      <c r="AK25" s="140">
        <f t="shared" si="13"/>
        <v>0</v>
      </c>
      <c r="AL25" s="94">
        <f t="shared" si="14"/>
        <v>1414633.2481587611</v>
      </c>
      <c r="AM25" s="103"/>
      <c r="AN25" s="80">
        <f t="shared" si="2"/>
        <v>1410851.8581587612</v>
      </c>
      <c r="AO25" s="165">
        <f>AN25/SUM('TABLE 4 - October 2016 Dataset'!F25:H25)</f>
        <v>3311.8588219689227</v>
      </c>
      <c r="AP25" s="165">
        <f t="shared" si="3"/>
        <v>188.14117803107729</v>
      </c>
      <c r="AQ25" s="165">
        <f>AP25*SUM('TABLE 4 - October 2016 Dataset'!F25:H25)</f>
        <v>80148.141841238918</v>
      </c>
      <c r="AR25" s="94">
        <f t="shared" si="15"/>
        <v>1494781.39</v>
      </c>
      <c r="AS25" s="103"/>
      <c r="AT25" s="80">
        <f>N25-(AF25+AG25+'TABLE 4 - October 2016 Dataset'!Y25)</f>
        <v>1166085.7510463353</v>
      </c>
      <c r="AU25" s="187">
        <f t="shared" si="16"/>
        <v>1381000</v>
      </c>
      <c r="AV25" s="165">
        <f t="shared" si="17"/>
        <v>2737.2904954139326</v>
      </c>
      <c r="AW25" s="165">
        <f>AU25/SUM('TABLE 4 - October 2016 Dataset'!F25:H25)</f>
        <v>3241.7840375586857</v>
      </c>
      <c r="AX25" s="173">
        <f t="shared" si="18"/>
        <v>0.18430398344274512</v>
      </c>
      <c r="AY25" s="173">
        <f t="shared" si="19"/>
        <v>0</v>
      </c>
      <c r="AZ25" s="175">
        <f t="shared" si="20"/>
        <v>0</v>
      </c>
      <c r="BA25" s="165">
        <f t="shared" si="21"/>
        <v>0</v>
      </c>
      <c r="BB25" s="94">
        <f t="shared" si="22"/>
        <v>1494781.39</v>
      </c>
      <c r="BC25" s="103"/>
      <c r="BD25" s="184">
        <f>'TABLE 1 - 2018-19 Provisional'!BR25-('TABLE 2 - 2019-20 Illustrative'!AF25+'TABLE 2 - 2019-20 Illustrative'!AG25+'TABLE 1 - 2018-19 Provisional'!AH25)</f>
        <v>1295800</v>
      </c>
      <c r="BE25" s="165">
        <f>BD25/SUM('TABLE 4 - October 2016 Dataset'!F25:H25)</f>
        <v>3041.7840375586857</v>
      </c>
      <c r="BF25" s="173">
        <f t="shared" si="23"/>
        <v>0.11123903095228749</v>
      </c>
      <c r="BG25" s="173">
        <f t="shared" si="24"/>
        <v>6.5750887482636244E-2</v>
      </c>
      <c r="BH25" s="173">
        <f>'TABLE 1 - 2018-19 Provisional'!BF25</f>
        <v>0.18430398344274512</v>
      </c>
      <c r="BI25" s="185">
        <f t="shared" si="4"/>
        <v>1.3150177496527249E-2</v>
      </c>
      <c r="BJ25" s="185">
        <f t="shared" si="5"/>
        <v>0.03</v>
      </c>
      <c r="BK25" s="173">
        <f t="shared" si="6"/>
        <v>-3.5750887482636245E-2</v>
      </c>
      <c r="BL25" s="175">
        <f t="shared" si="7"/>
        <v>-108.74647887323955</v>
      </c>
      <c r="BM25" s="165">
        <f>BL25*SUM('TABLE 4 - October 2016 Dataset'!F25:H25)</f>
        <v>-46326.000000000051</v>
      </c>
      <c r="BN25" s="94">
        <f t="shared" si="8"/>
        <v>1448455.39</v>
      </c>
      <c r="BO25" s="103"/>
      <c r="BP25" s="179">
        <f t="shared" si="9"/>
        <v>1444674</v>
      </c>
      <c r="BQ25" s="175">
        <f>BP25/SUM('TABLE 4 - October 2016 Dataset'!F25:H25)</f>
        <v>3391.2535211267605</v>
      </c>
      <c r="BR25" s="175">
        <f t="shared" si="25"/>
        <v>108.74647887323954</v>
      </c>
      <c r="BS25" s="175">
        <f>BR25*SUM('TABLE 4 - October 2016 Dataset'!F25:H25)</f>
        <v>46326.000000000044</v>
      </c>
      <c r="BT25" s="94">
        <f t="shared" si="26"/>
        <v>1494781.39</v>
      </c>
      <c r="BU25" s="103"/>
      <c r="BV25" s="80">
        <f t="shared" si="27"/>
        <v>1279867.1410463352</v>
      </c>
      <c r="BW25" s="122">
        <f t="shared" si="28"/>
        <v>3004.3829602026649</v>
      </c>
      <c r="BX25" s="264">
        <f t="shared" si="29"/>
        <v>1494781.39</v>
      </c>
      <c r="BY25" s="81">
        <f>BX25/SUM('TABLE 4 - October 2016 Dataset'!F25:H25)</f>
        <v>3508.8765023474175</v>
      </c>
      <c r="BZ25" s="264">
        <f t="shared" si="30"/>
        <v>214914.24895366468</v>
      </c>
      <c r="CA25" s="81">
        <f t="shared" si="31"/>
        <v>504.49354214475261</v>
      </c>
      <c r="CB25" s="269">
        <f t="shared" si="32"/>
        <v>0.16791918634458014</v>
      </c>
      <c r="CC25" s="103"/>
      <c r="CD25" s="80">
        <f>'TABLE 5 - DfE Published Figures'!O24</f>
        <v>1491000</v>
      </c>
      <c r="CE25" s="84">
        <f t="shared" si="33"/>
        <v>4000</v>
      </c>
      <c r="CF25" s="81"/>
      <c r="CG25" s="81"/>
      <c r="CH25" s="81"/>
      <c r="CI25" s="81"/>
      <c r="CJ25" s="2"/>
    </row>
    <row r="26" spans="2:88" ht="15.75">
      <c r="B26" s="198">
        <v>3302</v>
      </c>
      <c r="C26" s="60" t="s">
        <v>32</v>
      </c>
      <c r="D26" s="204" t="s">
        <v>70</v>
      </c>
      <c r="F26" s="80">
        <v>144</v>
      </c>
      <c r="G26" s="163"/>
      <c r="H26" s="164">
        <v>0</v>
      </c>
      <c r="I26" s="94">
        <f t="shared" si="0"/>
        <v>144</v>
      </c>
      <c r="J26" s="103"/>
      <c r="K26" s="80">
        <v>540244.6335168042</v>
      </c>
      <c r="L26" s="163"/>
      <c r="M26" s="163"/>
      <c r="N26" s="94">
        <f t="shared" si="1"/>
        <v>540244.6335168042</v>
      </c>
      <c r="O26" s="103"/>
      <c r="P26" s="80">
        <f>P$76*'TABLE 4 - October 2016 Dataset'!F26</f>
        <v>395566.55999999994</v>
      </c>
      <c r="Q26" s="160"/>
      <c r="R26" s="161"/>
      <c r="S26" s="162">
        <f t="shared" si="10"/>
        <v>395566.55999999994</v>
      </c>
      <c r="T26" s="165">
        <f>T$76*'TABLE 4 - October 2016 Dataset'!I26</f>
        <v>3960</v>
      </c>
      <c r="U26" s="165">
        <f>U$76*'TABLE 4 - October 2016 Dataset'!J26</f>
        <v>11581.276595744681</v>
      </c>
      <c r="V26" s="165">
        <f>V$76*'TABLE 4 - October 2016 Dataset'!K26</f>
        <v>0</v>
      </c>
      <c r="W26" s="165">
        <f>W$76*'TABLE 4 - October 2016 Dataset'!L26</f>
        <v>1268.81118881119</v>
      </c>
      <c r="X26" s="165">
        <f>X$76*'TABLE 4 - October 2016 Dataset'!M26</f>
        <v>0</v>
      </c>
      <c r="Y26" s="165">
        <f>Y$76*'TABLE 4 - October 2016 Dataset'!N26</f>
        <v>2175.1048951048974</v>
      </c>
      <c r="Z26" s="165">
        <f>Z$76*'TABLE 4 - October 2016 Dataset'!O26</f>
        <v>0</v>
      </c>
      <c r="AA26" s="165">
        <f>AA$76*'TABLE 4 - October 2016 Dataset'!P26</f>
        <v>9465.7342657342761</v>
      </c>
      <c r="AB26" s="162">
        <f t="shared" si="11"/>
        <v>28450.926945395047</v>
      </c>
      <c r="AC26" s="140">
        <f>AC$76*'TABLE 4 - October 2016 Dataset'!Q26</f>
        <v>33063.557685430256</v>
      </c>
      <c r="AD26" s="140">
        <f>AD$76*'TABLE 4 - October 2016 Dataset'!R26</f>
        <v>598.06451612903243</v>
      </c>
      <c r="AE26" s="140">
        <f>AE$76*'TABLE 4 - October 2016 Dataset'!S26</f>
        <v>0</v>
      </c>
      <c r="AF26" s="140">
        <f t="shared" si="12"/>
        <v>110000</v>
      </c>
      <c r="AG26" s="140">
        <f>IF('TABLE 4 - October 2016 Dataset'!X26="No",0,"*CHECK*")</f>
        <v>0</v>
      </c>
      <c r="AH26" s="140">
        <f>'TABLE 4 - October 2016 Dataset'!Y26</f>
        <v>1409.56</v>
      </c>
      <c r="AI26" s="170">
        <f>IF('TABLE 4 - October 2016 Dataset'!Z26&gt;0,('TABLE 4 - October 2016 Dataset'!Z26*(1+'TABLE 1 - 2018-19 Provisional'!AI$79)*(1+AI$79))-((AI$76*SUM('TABLE 4 - October 2016 Dataset'!F26:H26))+AI$77),0)</f>
        <v>0</v>
      </c>
      <c r="AJ26" s="166" t="str">
        <f>IF('TABLE 4 - October 2016 Dataset'!AA26="Yes",'TABLE 2 - 2019-20 Illustrative'!AJ$76*SUM('TABLE 4 - October 2016 Dataset'!F26:H26),"")</f>
        <v/>
      </c>
      <c r="AK26" s="140">
        <f t="shared" si="13"/>
        <v>0</v>
      </c>
      <c r="AL26" s="94">
        <f t="shared" si="14"/>
        <v>569088.66914695431</v>
      </c>
      <c r="AM26" s="103"/>
      <c r="AN26" s="80">
        <f t="shared" si="2"/>
        <v>567679.10914695426</v>
      </c>
      <c r="AO26" s="165">
        <f>AN26/SUM('TABLE 4 - October 2016 Dataset'!F26:H26)</f>
        <v>3942.2160357427379</v>
      </c>
      <c r="AP26" s="165">
        <f t="shared" si="3"/>
        <v>0</v>
      </c>
      <c r="AQ26" s="165">
        <f>AP26*SUM('TABLE 4 - October 2016 Dataset'!F26:H26)</f>
        <v>0</v>
      </c>
      <c r="AR26" s="94">
        <f t="shared" si="15"/>
        <v>569088.66914695431</v>
      </c>
      <c r="AS26" s="103"/>
      <c r="AT26" s="80">
        <f>N26-(AF26+AG26+'TABLE 4 - October 2016 Dataset'!Y26)</f>
        <v>428835.0735168042</v>
      </c>
      <c r="AU26" s="187">
        <f t="shared" si="16"/>
        <v>457679.10914695432</v>
      </c>
      <c r="AV26" s="165">
        <f t="shared" si="17"/>
        <v>2978.021343866696</v>
      </c>
      <c r="AW26" s="165">
        <f>AU26/SUM('TABLE 4 - October 2016 Dataset'!F26:H26)</f>
        <v>3178.3271468538496</v>
      </c>
      <c r="AX26" s="173">
        <f t="shared" si="18"/>
        <v>6.7261372521620011E-2</v>
      </c>
      <c r="AY26" s="173">
        <f t="shared" si="19"/>
        <v>0</v>
      </c>
      <c r="AZ26" s="175">
        <f t="shared" si="20"/>
        <v>0</v>
      </c>
      <c r="BA26" s="165">
        <f t="shared" si="21"/>
        <v>0</v>
      </c>
      <c r="BB26" s="94">
        <f t="shared" si="22"/>
        <v>569088.66914695431</v>
      </c>
      <c r="BC26" s="103"/>
      <c r="BD26" s="184">
        <f>'TABLE 1 - 2018-19 Provisional'!BR26-('TABLE 2 - 2019-20 Illustrative'!AF26+'TABLE 2 - 2019-20 Illustrative'!AG26+'TABLE 1 - 2018-19 Provisional'!AH26)</f>
        <v>441700.12572230835</v>
      </c>
      <c r="BE26" s="165">
        <f>BD26/SUM('TABLE 4 - October 2016 Dataset'!F26:H26)</f>
        <v>3067.3619841826967</v>
      </c>
      <c r="BF26" s="173">
        <f t="shared" si="23"/>
        <v>3.0000000000000027E-2</v>
      </c>
      <c r="BG26" s="173">
        <f t="shared" si="24"/>
        <v>3.6176089826815749E-2</v>
      </c>
      <c r="BH26" s="173">
        <f>'TABLE 1 - 2018-19 Provisional'!BF26</f>
        <v>6.7261372521620011E-2</v>
      </c>
      <c r="BI26" s="185">
        <f t="shared" si="4"/>
        <v>7.23521796536315E-3</v>
      </c>
      <c r="BJ26" s="185">
        <f t="shared" si="5"/>
        <v>0.03</v>
      </c>
      <c r="BK26" s="173">
        <f t="shared" si="6"/>
        <v>-6.1760898268157505E-3</v>
      </c>
      <c r="BL26" s="175">
        <f t="shared" si="7"/>
        <v>-18.944303145672126</v>
      </c>
      <c r="BM26" s="165">
        <f>BL26*SUM('TABLE 4 - October 2016 Dataset'!F26:H26)</f>
        <v>-2727.9796529767864</v>
      </c>
      <c r="BN26" s="94">
        <f t="shared" si="8"/>
        <v>566360.68949397758</v>
      </c>
      <c r="BO26" s="103"/>
      <c r="BP26" s="179">
        <f t="shared" si="9"/>
        <v>564951.12949397753</v>
      </c>
      <c r="BQ26" s="175">
        <f>BP26/SUM('TABLE 4 - October 2016 Dataset'!F26:H26)</f>
        <v>3923.2717325970661</v>
      </c>
      <c r="BR26" s="175">
        <f t="shared" si="25"/>
        <v>0</v>
      </c>
      <c r="BS26" s="175">
        <f>BR26*SUM('TABLE 4 - October 2016 Dataset'!F26:H26)</f>
        <v>0</v>
      </c>
      <c r="BT26" s="94">
        <f t="shared" si="26"/>
        <v>566360.68949397758</v>
      </c>
      <c r="BU26" s="103"/>
      <c r="BV26" s="80">
        <f t="shared" si="27"/>
        <v>540244.6335168042</v>
      </c>
      <c r="BW26" s="122">
        <f t="shared" si="28"/>
        <v>3751.6988438666958</v>
      </c>
      <c r="BX26" s="264">
        <f t="shared" si="29"/>
        <v>566360.68949397758</v>
      </c>
      <c r="BY26" s="81">
        <f>BX26/SUM('TABLE 4 - October 2016 Dataset'!F26:H26)</f>
        <v>3933.0603437081777</v>
      </c>
      <c r="BZ26" s="264">
        <f t="shared" si="30"/>
        <v>26116.055977173382</v>
      </c>
      <c r="CA26" s="81">
        <f t="shared" si="31"/>
        <v>181.36149984148187</v>
      </c>
      <c r="CB26" s="269">
        <f t="shared" si="32"/>
        <v>4.8341166865771473E-2</v>
      </c>
      <c r="CC26" s="103"/>
      <c r="CD26" s="80">
        <f>'TABLE 5 - DfE Published Figures'!O25</f>
        <v>565000</v>
      </c>
      <c r="CE26" s="84">
        <f t="shared" si="33"/>
        <v>1000</v>
      </c>
      <c r="CF26" s="81"/>
      <c r="CG26" s="81"/>
      <c r="CH26" s="81"/>
      <c r="CI26" s="81"/>
      <c r="CJ26" s="2"/>
    </row>
    <row r="27" spans="2:88" ht="15.75">
      <c r="B27" s="198">
        <v>2028</v>
      </c>
      <c r="C27" s="60" t="s">
        <v>33</v>
      </c>
      <c r="D27" s="204"/>
      <c r="F27" s="80">
        <v>280</v>
      </c>
      <c r="G27" s="163"/>
      <c r="H27" s="164">
        <v>0</v>
      </c>
      <c r="I27" s="94">
        <f t="shared" si="0"/>
        <v>280</v>
      </c>
      <c r="J27" s="103"/>
      <c r="K27" s="80">
        <v>1284243.1281264999</v>
      </c>
      <c r="L27" s="163"/>
      <c r="M27" s="108">
        <v>3744.9700000000298</v>
      </c>
      <c r="N27" s="94">
        <f t="shared" si="1"/>
        <v>1287988.0981264999</v>
      </c>
      <c r="O27" s="103"/>
      <c r="P27" s="80">
        <f>P$76*'TABLE 4 - October 2016 Dataset'!F27</f>
        <v>769157.2</v>
      </c>
      <c r="Q27" s="160"/>
      <c r="R27" s="161"/>
      <c r="S27" s="162">
        <f t="shared" si="10"/>
        <v>769157.2</v>
      </c>
      <c r="T27" s="165">
        <f>T$76*'TABLE 4 - October 2016 Dataset'!I27</f>
        <v>26840.000000000018</v>
      </c>
      <c r="U27" s="165">
        <f>U$76*'TABLE 4 - October 2016 Dataset'!J27</f>
        <v>61356.52173913044</v>
      </c>
      <c r="V27" s="165">
        <f>V$76*'TABLE 4 - October 2016 Dataset'!K27</f>
        <v>0</v>
      </c>
      <c r="W27" s="165">
        <f>W$76*'TABLE 4 - October 2016 Dataset'!L27</f>
        <v>0</v>
      </c>
      <c r="X27" s="165">
        <f>X$76*'TABLE 4 - October 2016 Dataset'!M27</f>
        <v>14141.007194244621</v>
      </c>
      <c r="Y27" s="165">
        <f>Y$76*'TABLE 4 - October 2016 Dataset'!N27</f>
        <v>24656.115107913709</v>
      </c>
      <c r="Z27" s="165">
        <f>Z$76*'TABLE 4 - October 2016 Dataset'!O27</f>
        <v>241.72661870503575</v>
      </c>
      <c r="AA27" s="165">
        <f>AA$76*'TABLE 4 - October 2016 Dataset'!P27</f>
        <v>20143.884892086309</v>
      </c>
      <c r="AB27" s="162">
        <f t="shared" si="11"/>
        <v>147379.25555208014</v>
      </c>
      <c r="AC27" s="140">
        <f>AC$76*'TABLE 4 - October 2016 Dataset'!Q27</f>
        <v>105600.02599484436</v>
      </c>
      <c r="AD27" s="140">
        <f>AD$76*'TABLE 4 - October 2016 Dataset'!R27</f>
        <v>6162.3931623931576</v>
      </c>
      <c r="AE27" s="140">
        <f>AE$76*'TABLE 4 - October 2016 Dataset'!S27</f>
        <v>0</v>
      </c>
      <c r="AF27" s="140">
        <f t="shared" si="12"/>
        <v>110000</v>
      </c>
      <c r="AG27" s="140">
        <f>IF('TABLE 4 - October 2016 Dataset'!X27="No",0,"*CHECK*")</f>
        <v>0</v>
      </c>
      <c r="AH27" s="140">
        <f>'TABLE 4 - October 2016 Dataset'!Y27</f>
        <v>39020.410000000003</v>
      </c>
      <c r="AI27" s="171">
        <f>IF('TABLE 4 - October 2016 Dataset'!Z27&gt;0,('TABLE 4 - October 2016 Dataset'!Z27*(1+'TABLE 1 - 2018-19 Provisional'!AI$79)*(1+AI$79))-((AI$76*SUM('TABLE 4 - October 2016 Dataset'!F27:H27))+AI$77),0)</f>
        <v>187731.50399999996</v>
      </c>
      <c r="AJ27" s="166" t="str">
        <f>IF('TABLE 4 - October 2016 Dataset'!AA27="Yes",'TABLE 2 - 2019-20 Illustrative'!AJ$76*SUM('TABLE 4 - October 2016 Dataset'!F27:H27),"")</f>
        <v/>
      </c>
      <c r="AK27" s="140">
        <f t="shared" si="13"/>
        <v>0</v>
      </c>
      <c r="AL27" s="94">
        <f t="shared" si="14"/>
        <v>1365050.7887093173</v>
      </c>
      <c r="AM27" s="103"/>
      <c r="AN27" s="80">
        <f t="shared" si="2"/>
        <v>1138298.8747093175</v>
      </c>
      <c r="AO27" s="165">
        <f>AN27/SUM('TABLE 4 - October 2016 Dataset'!F27:H27)</f>
        <v>4065.3531239618483</v>
      </c>
      <c r="AP27" s="165">
        <f t="shared" si="3"/>
        <v>0</v>
      </c>
      <c r="AQ27" s="165">
        <f>AP27*SUM('TABLE 4 - October 2016 Dataset'!F27:H27)</f>
        <v>0</v>
      </c>
      <c r="AR27" s="94">
        <f t="shared" si="15"/>
        <v>1365050.7887093173</v>
      </c>
      <c r="AS27" s="103"/>
      <c r="AT27" s="80">
        <f>N27-(AF27+AG27+'TABLE 4 - October 2016 Dataset'!Y27)</f>
        <v>1138967.6881265</v>
      </c>
      <c r="AU27" s="187">
        <f t="shared" si="16"/>
        <v>1216030.3787093174</v>
      </c>
      <c r="AV27" s="165">
        <f t="shared" si="17"/>
        <v>4067.7417433089286</v>
      </c>
      <c r="AW27" s="165">
        <f>AU27/SUM('TABLE 4 - October 2016 Dataset'!F27:H27)</f>
        <v>4342.9656382475623</v>
      </c>
      <c r="AX27" s="173">
        <f t="shared" si="18"/>
        <v>6.766012011243161E-2</v>
      </c>
      <c r="AY27" s="173">
        <f t="shared" si="19"/>
        <v>0</v>
      </c>
      <c r="AZ27" s="175">
        <f t="shared" si="20"/>
        <v>0</v>
      </c>
      <c r="BA27" s="165">
        <f t="shared" si="21"/>
        <v>0</v>
      </c>
      <c r="BB27" s="94">
        <f t="shared" si="22"/>
        <v>1365050.7887093173</v>
      </c>
      <c r="BC27" s="103"/>
      <c r="BD27" s="184">
        <f>'TABLE 1 - 2018-19 Provisional'!BR27-('TABLE 2 - 2019-20 Illustrative'!AF27+'TABLE 2 - 2019-20 Illustrative'!AG27+'TABLE 1 - 2018-19 Provisional'!AH27)</f>
        <v>1173136.7187702949</v>
      </c>
      <c r="BE27" s="165">
        <f>BD27/SUM('TABLE 4 - October 2016 Dataset'!F27:H27)</f>
        <v>4189.7739956081959</v>
      </c>
      <c r="BF27" s="173">
        <f t="shared" si="23"/>
        <v>2.9999999999999805E-2</v>
      </c>
      <c r="BG27" s="173">
        <f t="shared" si="24"/>
        <v>3.6563223410127854E-2</v>
      </c>
      <c r="BH27" s="173">
        <f>'TABLE 1 - 2018-19 Provisional'!BF27</f>
        <v>6.766012011243161E-2</v>
      </c>
      <c r="BI27" s="185">
        <f t="shared" si="4"/>
        <v>7.3126446820255715E-3</v>
      </c>
      <c r="BJ27" s="185">
        <f t="shared" si="5"/>
        <v>0.03</v>
      </c>
      <c r="BK27" s="173">
        <f t="shared" si="6"/>
        <v>-6.5632234101278553E-3</v>
      </c>
      <c r="BL27" s="175">
        <f t="shared" si="7"/>
        <v>-27.498422771120634</v>
      </c>
      <c r="BM27" s="165">
        <f>BL27*SUM('TABLE 4 - October 2016 Dataset'!F27:H27)</f>
        <v>-7699.5583759137771</v>
      </c>
      <c r="BN27" s="94">
        <f t="shared" si="8"/>
        <v>1357351.2303334035</v>
      </c>
      <c r="BO27" s="103"/>
      <c r="BP27" s="179">
        <f t="shared" si="9"/>
        <v>1130599.3163334036</v>
      </c>
      <c r="BQ27" s="175">
        <f>BP27/SUM('TABLE 4 - October 2016 Dataset'!F27:H27)</f>
        <v>4037.8547011907272</v>
      </c>
      <c r="BR27" s="175">
        <f t="shared" si="25"/>
        <v>0</v>
      </c>
      <c r="BS27" s="175">
        <f>BR27*SUM('TABLE 4 - October 2016 Dataset'!F27:H27)</f>
        <v>0</v>
      </c>
      <c r="BT27" s="94">
        <f t="shared" si="26"/>
        <v>1357351.2303334035</v>
      </c>
      <c r="BU27" s="103"/>
      <c r="BV27" s="80">
        <f t="shared" si="27"/>
        <v>1287988.0981264999</v>
      </c>
      <c r="BW27" s="122">
        <f t="shared" si="28"/>
        <v>4599.957493308928</v>
      </c>
      <c r="BX27" s="264">
        <f t="shared" si="29"/>
        <v>1357351.2303334035</v>
      </c>
      <c r="BY27" s="81">
        <f>BX27/SUM('TABLE 4 - October 2016 Dataset'!F27:H27)</f>
        <v>4847.6829654764406</v>
      </c>
      <c r="BZ27" s="264">
        <f t="shared" si="30"/>
        <v>69363.132206903538</v>
      </c>
      <c r="CA27" s="81">
        <f t="shared" si="31"/>
        <v>247.72547216751263</v>
      </c>
      <c r="CB27" s="269">
        <f t="shared" si="32"/>
        <v>5.3853861155859092E-2</v>
      </c>
      <c r="CC27" s="103"/>
      <c r="CD27" s="80">
        <f>'TABLE 5 - DfE Published Figures'!O26</f>
        <v>1360000</v>
      </c>
      <c r="CE27" s="84">
        <f t="shared" si="33"/>
        <v>-3000</v>
      </c>
      <c r="CF27" s="81"/>
      <c r="CG27" s="81"/>
      <c r="CH27" s="81"/>
      <c r="CI27" s="81"/>
      <c r="CJ27" s="2"/>
    </row>
    <row r="28" spans="2:88" ht="15.75">
      <c r="B28" s="198">
        <v>2180</v>
      </c>
      <c r="C28" s="60" t="s">
        <v>34</v>
      </c>
      <c r="D28" s="204" t="s">
        <v>74</v>
      </c>
      <c r="F28" s="80">
        <v>418</v>
      </c>
      <c r="G28" s="163"/>
      <c r="H28" s="164">
        <v>0</v>
      </c>
      <c r="I28" s="94">
        <f t="shared" si="0"/>
        <v>418</v>
      </c>
      <c r="J28" s="103"/>
      <c r="K28" s="80">
        <v>1285823.311554234</v>
      </c>
      <c r="L28" s="163"/>
      <c r="M28" s="163"/>
      <c r="N28" s="94">
        <f t="shared" si="1"/>
        <v>1285823.311554234</v>
      </c>
      <c r="O28" s="103"/>
      <c r="P28" s="80">
        <f>P$76*'TABLE 4 - October 2016 Dataset'!F28</f>
        <v>1148241.8199999998</v>
      </c>
      <c r="Q28" s="160"/>
      <c r="R28" s="161"/>
      <c r="S28" s="162">
        <f t="shared" si="10"/>
        <v>1148241.8199999998</v>
      </c>
      <c r="T28" s="165">
        <f>T$76*'TABLE 4 - October 2016 Dataset'!I28</f>
        <v>7920</v>
      </c>
      <c r="U28" s="165">
        <f>U$76*'TABLE 4 - October 2016 Dataset'!J28</f>
        <v>20818.834951456309</v>
      </c>
      <c r="V28" s="165">
        <f>V$76*'TABLE 4 - October 2016 Dataset'!K28</f>
        <v>0</v>
      </c>
      <c r="W28" s="165">
        <f>W$76*'TABLE 4 - October 2016 Dataset'!L28</f>
        <v>844.03846153846189</v>
      </c>
      <c r="X28" s="165">
        <f>X$76*'TABLE 4 - October 2016 Dataset'!M28</f>
        <v>783.75000000000034</v>
      </c>
      <c r="Y28" s="165">
        <f>Y$76*'TABLE 4 - October 2016 Dataset'!N28</f>
        <v>3979.0384615384628</v>
      </c>
      <c r="Z28" s="165">
        <f>Z$76*'TABLE 4 - October 2016 Dataset'!O28</f>
        <v>2652.6923076923085</v>
      </c>
      <c r="AA28" s="165">
        <f>AA$76*'TABLE 4 - October 2016 Dataset'!P28</f>
        <v>3215.384615384618</v>
      </c>
      <c r="AB28" s="162">
        <f t="shared" si="11"/>
        <v>40213.738797610153</v>
      </c>
      <c r="AC28" s="140">
        <f>AC$76*'TABLE 4 - October 2016 Dataset'!Q28</f>
        <v>122556.54086446505</v>
      </c>
      <c r="AD28" s="140">
        <f>AD$76*'TABLE 4 - October 2016 Dataset'!R28</f>
        <v>8895.4545454545496</v>
      </c>
      <c r="AE28" s="140">
        <f>AE$76*'TABLE 4 - October 2016 Dataset'!S28</f>
        <v>0</v>
      </c>
      <c r="AF28" s="140">
        <f t="shared" si="12"/>
        <v>110000</v>
      </c>
      <c r="AG28" s="140">
        <f>IF('TABLE 4 - October 2016 Dataset'!X28="No",0,"*CHECK*")</f>
        <v>0</v>
      </c>
      <c r="AH28" s="140">
        <f>'TABLE 4 - October 2016 Dataset'!Y28</f>
        <v>4176</v>
      </c>
      <c r="AI28" s="170">
        <f>IF('TABLE 4 - October 2016 Dataset'!Z28&gt;0,('TABLE 4 - October 2016 Dataset'!Z28*(1+'TABLE 1 - 2018-19 Provisional'!AI$79)*(1+AI$79))-((AI$76*SUM('TABLE 4 - October 2016 Dataset'!F28:H28))+AI$77),0)</f>
        <v>0</v>
      </c>
      <c r="AJ28" s="166" t="str">
        <f>IF('TABLE 4 - October 2016 Dataset'!AA28="Yes",'TABLE 2 - 2019-20 Illustrative'!AJ$76*SUM('TABLE 4 - October 2016 Dataset'!F28:H28),"")</f>
        <v/>
      </c>
      <c r="AK28" s="140">
        <f t="shared" si="13"/>
        <v>0</v>
      </c>
      <c r="AL28" s="94">
        <f t="shared" si="14"/>
        <v>1434083.5542075296</v>
      </c>
      <c r="AM28" s="103"/>
      <c r="AN28" s="80">
        <f t="shared" si="2"/>
        <v>1429907.5542075296</v>
      </c>
      <c r="AO28" s="165">
        <f>AN28/SUM('TABLE 4 - October 2016 Dataset'!F28:H28)</f>
        <v>3420.8314693960037</v>
      </c>
      <c r="AP28" s="165">
        <f t="shared" si="3"/>
        <v>79.16853060399626</v>
      </c>
      <c r="AQ28" s="165">
        <f>AP28*SUM('TABLE 4 - October 2016 Dataset'!F28:H28)</f>
        <v>33092.445792470433</v>
      </c>
      <c r="AR28" s="94">
        <f t="shared" si="15"/>
        <v>1467176</v>
      </c>
      <c r="AS28" s="103"/>
      <c r="AT28" s="80">
        <f>N28-(AF28+AG28+'TABLE 4 - October 2016 Dataset'!Y28)</f>
        <v>1171647.311554234</v>
      </c>
      <c r="AU28" s="187">
        <f t="shared" si="16"/>
        <v>1353000</v>
      </c>
      <c r="AV28" s="165">
        <f t="shared" si="17"/>
        <v>2802.9839989335742</v>
      </c>
      <c r="AW28" s="165">
        <f>AU28/SUM('TABLE 4 - October 2016 Dataset'!F28:H28)</f>
        <v>3236.8421052631579</v>
      </c>
      <c r="AX28" s="173">
        <f t="shared" si="18"/>
        <v>0.15478436783608096</v>
      </c>
      <c r="AY28" s="173">
        <f t="shared" si="19"/>
        <v>0</v>
      </c>
      <c r="AZ28" s="175">
        <f t="shared" si="20"/>
        <v>0</v>
      </c>
      <c r="BA28" s="165">
        <f t="shared" si="21"/>
        <v>0</v>
      </c>
      <c r="BB28" s="94">
        <f t="shared" si="22"/>
        <v>1467176</v>
      </c>
      <c r="BC28" s="103"/>
      <c r="BD28" s="184">
        <f>'TABLE 1 - 2018-19 Provisional'!BR28-('TABLE 2 - 2019-20 Illustrative'!AF28+'TABLE 2 - 2019-20 Illustrative'!AG28+'TABLE 1 - 2018-19 Provisional'!AH28)</f>
        <v>1269400</v>
      </c>
      <c r="BE28" s="165">
        <f>BD28/SUM('TABLE 4 - October 2016 Dataset'!F28:H28)</f>
        <v>3036.8421052631579</v>
      </c>
      <c r="BF28" s="173">
        <f t="shared" si="23"/>
        <v>8.343183779092489E-2</v>
      </c>
      <c r="BG28" s="173">
        <f t="shared" si="24"/>
        <v>6.585788561525141E-2</v>
      </c>
      <c r="BH28" s="173">
        <f>'TABLE 1 - 2018-19 Provisional'!BF28</f>
        <v>0.15478436783608096</v>
      </c>
      <c r="BI28" s="185">
        <f t="shared" si="4"/>
        <v>1.3171577123050282E-2</v>
      </c>
      <c r="BJ28" s="185">
        <f t="shared" si="5"/>
        <v>0.03</v>
      </c>
      <c r="BK28" s="173">
        <f t="shared" si="6"/>
        <v>-3.5857885615251411E-2</v>
      </c>
      <c r="BL28" s="175">
        <f t="shared" si="7"/>
        <v>-108.8947368421056</v>
      </c>
      <c r="BM28" s="165">
        <f>BL28*SUM('TABLE 4 - October 2016 Dataset'!F28:H28)</f>
        <v>-45518.000000000138</v>
      </c>
      <c r="BN28" s="94">
        <f t="shared" si="8"/>
        <v>1421657.9999999998</v>
      </c>
      <c r="BO28" s="103"/>
      <c r="BP28" s="179">
        <f t="shared" si="9"/>
        <v>1417481.9999999998</v>
      </c>
      <c r="BQ28" s="175">
        <f>BP28/SUM('TABLE 4 - October 2016 Dataset'!F28:H28)</f>
        <v>3391.1052631578941</v>
      </c>
      <c r="BR28" s="175">
        <f t="shared" si="25"/>
        <v>108.89473684210589</v>
      </c>
      <c r="BS28" s="175">
        <f>BR28*SUM('TABLE 4 - October 2016 Dataset'!F28:H28)</f>
        <v>45518.000000000262</v>
      </c>
      <c r="BT28" s="94">
        <f t="shared" si="26"/>
        <v>1467176</v>
      </c>
      <c r="BU28" s="103"/>
      <c r="BV28" s="80">
        <f t="shared" si="27"/>
        <v>1285823.311554234</v>
      </c>
      <c r="BW28" s="122">
        <f t="shared" si="28"/>
        <v>3076.1323242924259</v>
      </c>
      <c r="BX28" s="264">
        <f t="shared" si="29"/>
        <v>1467176</v>
      </c>
      <c r="BY28" s="81">
        <f>BX28/SUM('TABLE 4 - October 2016 Dataset'!F28:H28)</f>
        <v>3509.9904306220096</v>
      </c>
      <c r="BZ28" s="264">
        <f t="shared" si="30"/>
        <v>181352.68844576599</v>
      </c>
      <c r="CA28" s="81">
        <f t="shared" si="31"/>
        <v>433.85810632958373</v>
      </c>
      <c r="CB28" s="269">
        <f t="shared" si="32"/>
        <v>0.14104013110989302</v>
      </c>
      <c r="CC28" s="103"/>
      <c r="CD28" s="80">
        <f>'TABLE 5 - DfE Published Figures'!O27</f>
        <v>1463000</v>
      </c>
      <c r="CE28" s="84">
        <f t="shared" si="33"/>
        <v>4000</v>
      </c>
      <c r="CF28" s="81"/>
      <c r="CG28" s="81"/>
      <c r="CH28" s="81"/>
      <c r="CI28" s="81"/>
      <c r="CJ28" s="2"/>
    </row>
    <row r="29" spans="2:88" ht="15.75">
      <c r="B29" s="198">
        <v>2011</v>
      </c>
      <c r="C29" s="60" t="s">
        <v>36</v>
      </c>
      <c r="D29" s="204" t="s">
        <v>73</v>
      </c>
      <c r="F29" s="80">
        <v>415</v>
      </c>
      <c r="G29" s="163"/>
      <c r="H29" s="164">
        <v>0</v>
      </c>
      <c r="I29" s="94">
        <f t="shared" si="0"/>
        <v>415</v>
      </c>
      <c r="J29" s="103"/>
      <c r="K29" s="80">
        <v>1292259.8251200963</v>
      </c>
      <c r="L29" s="163"/>
      <c r="M29" s="163"/>
      <c r="N29" s="94">
        <f t="shared" si="1"/>
        <v>1292259.8251200963</v>
      </c>
      <c r="O29" s="103"/>
      <c r="P29" s="80">
        <f>P$76*'TABLE 4 - October 2016 Dataset'!F29</f>
        <v>1140000.8499999999</v>
      </c>
      <c r="Q29" s="160"/>
      <c r="R29" s="161"/>
      <c r="S29" s="162">
        <f t="shared" si="10"/>
        <v>1140000.8499999999</v>
      </c>
      <c r="T29" s="165">
        <f>T$76*'TABLE 4 - October 2016 Dataset'!I29</f>
        <v>8360.0000000000036</v>
      </c>
      <c r="U29" s="165">
        <f>U$76*'TABLE 4 - October 2016 Dataset'!J29</f>
        <v>23865.194805194802</v>
      </c>
      <c r="V29" s="165">
        <f>V$76*'TABLE 4 - October 2016 Dataset'!K29</f>
        <v>0</v>
      </c>
      <c r="W29" s="165">
        <f>W$76*'TABLE 4 - October 2016 Dataset'!L29</f>
        <v>0</v>
      </c>
      <c r="X29" s="165">
        <f>X$76*'TABLE 4 - October 2016 Dataset'!M29</f>
        <v>1978.6063569682112</v>
      </c>
      <c r="Y29" s="165">
        <f>Y$76*'TABLE 4 - October 2016 Dataset'!N29</f>
        <v>365.2811735941313</v>
      </c>
      <c r="Z29" s="165">
        <f>Z$76*'TABLE 4 - October 2016 Dataset'!O29</f>
        <v>2191.68704156479</v>
      </c>
      <c r="AA29" s="165">
        <f>AA$76*'TABLE 4 - October 2016 Dataset'!P29</f>
        <v>1420.5378973105157</v>
      </c>
      <c r="AB29" s="162">
        <f t="shared" si="11"/>
        <v>38181.307274632454</v>
      </c>
      <c r="AC29" s="140">
        <f>AC$76*'TABLE 4 - October 2016 Dataset'!Q29</f>
        <v>92023.874627596728</v>
      </c>
      <c r="AD29" s="140">
        <f>AD$76*'TABLE 4 - October 2016 Dataset'!R29</f>
        <v>16904.802259887005</v>
      </c>
      <c r="AE29" s="140">
        <f>AE$76*'TABLE 4 - October 2016 Dataset'!S29</f>
        <v>0</v>
      </c>
      <c r="AF29" s="140">
        <f t="shared" si="12"/>
        <v>110000</v>
      </c>
      <c r="AG29" s="140">
        <f>IF('TABLE 4 - October 2016 Dataset'!X29="No",0,"*CHECK*")</f>
        <v>0</v>
      </c>
      <c r="AH29" s="140">
        <f>'TABLE 4 - October 2016 Dataset'!Y29</f>
        <v>7687.55</v>
      </c>
      <c r="AI29" s="170">
        <f>IF('TABLE 4 - October 2016 Dataset'!Z29&gt;0,('TABLE 4 - October 2016 Dataset'!Z29*(1+'TABLE 1 - 2018-19 Provisional'!AI$79)*(1+AI$79))-((AI$76*SUM('TABLE 4 - October 2016 Dataset'!F29:H29))+AI$77),0)</f>
        <v>0</v>
      </c>
      <c r="AJ29" s="166" t="str">
        <f>IF('TABLE 4 - October 2016 Dataset'!AA29="Yes",'TABLE 2 - 2019-20 Illustrative'!AJ$76*SUM('TABLE 4 - October 2016 Dataset'!F29:H29),"")</f>
        <v/>
      </c>
      <c r="AK29" s="140">
        <f t="shared" si="13"/>
        <v>0</v>
      </c>
      <c r="AL29" s="94">
        <f t="shared" si="14"/>
        <v>1404798.3841621161</v>
      </c>
      <c r="AM29" s="103"/>
      <c r="AN29" s="80">
        <f t="shared" si="2"/>
        <v>1397110.8341621161</v>
      </c>
      <c r="AO29" s="165">
        <f>AN29/SUM('TABLE 4 - October 2016 Dataset'!F29:H29)</f>
        <v>3366.5321305111229</v>
      </c>
      <c r="AP29" s="165">
        <f t="shared" si="3"/>
        <v>133.46786948887711</v>
      </c>
      <c r="AQ29" s="165">
        <f>AP29*SUM('TABLE 4 - October 2016 Dataset'!F29:H29)</f>
        <v>55389.165837884</v>
      </c>
      <c r="AR29" s="94">
        <f t="shared" si="15"/>
        <v>1460187.55</v>
      </c>
      <c r="AS29" s="103"/>
      <c r="AT29" s="80">
        <f>N29-(AF29+AG29+'TABLE 4 - October 2016 Dataset'!Y29)</f>
        <v>1174572.2751200963</v>
      </c>
      <c r="AU29" s="187">
        <f t="shared" si="16"/>
        <v>1342500</v>
      </c>
      <c r="AV29" s="165">
        <f t="shared" si="17"/>
        <v>2830.2946388436053</v>
      </c>
      <c r="AW29" s="165">
        <f>AU29/SUM('TABLE 4 - October 2016 Dataset'!F29:H29)</f>
        <v>3234.9397590361446</v>
      </c>
      <c r="AX29" s="173">
        <f t="shared" si="18"/>
        <v>0.14296925650040038</v>
      </c>
      <c r="AY29" s="173">
        <f t="shared" si="19"/>
        <v>0</v>
      </c>
      <c r="AZ29" s="175">
        <f t="shared" si="20"/>
        <v>0</v>
      </c>
      <c r="BA29" s="165">
        <f t="shared" si="21"/>
        <v>0</v>
      </c>
      <c r="BB29" s="94">
        <f t="shared" si="22"/>
        <v>1460187.55</v>
      </c>
      <c r="BC29" s="103"/>
      <c r="BD29" s="184">
        <f>'TABLE 1 - 2018-19 Provisional'!BR29-('TABLE 2 - 2019-20 Illustrative'!AF29+'TABLE 2 - 2019-20 Illustrative'!AG29+'TABLE 1 - 2018-19 Provisional'!AH29)</f>
        <v>1259500</v>
      </c>
      <c r="BE29" s="165">
        <f>BD29/SUM('TABLE 4 - October 2016 Dataset'!F29:H29)</f>
        <v>3034.9397590361446</v>
      </c>
      <c r="BF29" s="173">
        <f t="shared" si="23"/>
        <v>7.2305235428122394E-2</v>
      </c>
      <c r="BG29" s="173">
        <f t="shared" si="24"/>
        <v>6.589916633584747E-2</v>
      </c>
      <c r="BH29" s="173">
        <f>'TABLE 1 - 2018-19 Provisional'!BF29</f>
        <v>0.14296925650040038</v>
      </c>
      <c r="BI29" s="185">
        <f t="shared" si="4"/>
        <v>1.3179833267169495E-2</v>
      </c>
      <c r="BJ29" s="185">
        <f t="shared" si="5"/>
        <v>0.03</v>
      </c>
      <c r="BK29" s="173">
        <f t="shared" si="6"/>
        <v>-3.5899166335847471E-2</v>
      </c>
      <c r="BL29" s="175">
        <f t="shared" si="7"/>
        <v>-108.9518072289154</v>
      </c>
      <c r="BM29" s="165">
        <f>BL29*SUM('TABLE 4 - October 2016 Dataset'!F29:H29)</f>
        <v>-45214.999999999891</v>
      </c>
      <c r="BN29" s="94">
        <f t="shared" si="8"/>
        <v>1414972.55</v>
      </c>
      <c r="BO29" s="103"/>
      <c r="BP29" s="179">
        <f t="shared" si="9"/>
        <v>1407285</v>
      </c>
      <c r="BQ29" s="175">
        <f>BP29/SUM('TABLE 4 - October 2016 Dataset'!F29:H29)</f>
        <v>3391.0481927710844</v>
      </c>
      <c r="BR29" s="175">
        <f t="shared" si="25"/>
        <v>108.95180722891564</v>
      </c>
      <c r="BS29" s="175">
        <f>BR29*SUM('TABLE 4 - October 2016 Dataset'!F29:H29)</f>
        <v>45214.999999999993</v>
      </c>
      <c r="BT29" s="94">
        <f t="shared" si="26"/>
        <v>1460187.55</v>
      </c>
      <c r="BU29" s="103"/>
      <c r="BV29" s="80">
        <f t="shared" si="27"/>
        <v>1292259.8251200963</v>
      </c>
      <c r="BW29" s="122">
        <f t="shared" si="28"/>
        <v>3113.8790966749311</v>
      </c>
      <c r="BX29" s="264">
        <f t="shared" si="29"/>
        <v>1460187.55</v>
      </c>
      <c r="BY29" s="81">
        <f>BX29/SUM('TABLE 4 - October 2016 Dataset'!F29:H29)</f>
        <v>3518.5242168674699</v>
      </c>
      <c r="BZ29" s="264">
        <f t="shared" si="30"/>
        <v>167927.72487990372</v>
      </c>
      <c r="CA29" s="81">
        <f t="shared" si="31"/>
        <v>404.6451201925388</v>
      </c>
      <c r="CB29" s="269">
        <f t="shared" si="32"/>
        <v>0.12994888614160641</v>
      </c>
      <c r="CC29" s="103"/>
      <c r="CD29" s="80">
        <f>'TABLE 5 - DfE Published Figures'!O28</f>
        <v>1453000</v>
      </c>
      <c r="CE29" s="84">
        <f t="shared" si="33"/>
        <v>7000</v>
      </c>
      <c r="CF29" s="81"/>
      <c r="CG29" s="81"/>
      <c r="CH29" s="81"/>
      <c r="CI29" s="81"/>
      <c r="CJ29" s="2"/>
    </row>
    <row r="30" spans="2:88" ht="15.75">
      <c r="B30" s="198">
        <v>2428</v>
      </c>
      <c r="C30" s="60" t="s">
        <v>37</v>
      </c>
      <c r="D30" s="204"/>
      <c r="F30" s="80">
        <v>283</v>
      </c>
      <c r="G30" s="163"/>
      <c r="H30" s="164">
        <v>0</v>
      </c>
      <c r="I30" s="94">
        <f t="shared" si="0"/>
        <v>283</v>
      </c>
      <c r="J30" s="103"/>
      <c r="K30" s="80">
        <v>974350.61594525084</v>
      </c>
      <c r="L30" s="163"/>
      <c r="M30" s="163"/>
      <c r="N30" s="94">
        <f t="shared" si="1"/>
        <v>974350.61594525084</v>
      </c>
      <c r="O30" s="103"/>
      <c r="P30" s="80">
        <f>P$76*'TABLE 4 - October 2016 Dataset'!F30</f>
        <v>777398.16999999993</v>
      </c>
      <c r="Q30" s="160"/>
      <c r="R30" s="161"/>
      <c r="S30" s="162">
        <f t="shared" si="10"/>
        <v>777398.16999999993</v>
      </c>
      <c r="T30" s="165">
        <f>T$76*'TABLE 4 - October 2016 Dataset'!I30</f>
        <v>11439.999999999996</v>
      </c>
      <c r="U30" s="165">
        <f>U$76*'TABLE 4 - October 2016 Dataset'!J30</f>
        <v>25141.354838709678</v>
      </c>
      <c r="V30" s="165">
        <f>V$76*'TABLE 4 - October 2016 Dataset'!K30</f>
        <v>0</v>
      </c>
      <c r="W30" s="165">
        <f>W$76*'TABLE 4 - October 2016 Dataset'!L30</f>
        <v>3371.9148936170172</v>
      </c>
      <c r="X30" s="165">
        <f>X$76*'TABLE 4 - October 2016 Dataset'!M30</f>
        <v>0</v>
      </c>
      <c r="Y30" s="165">
        <f>Y$76*'TABLE 4 - October 2016 Dataset'!N30</f>
        <v>3251.4893617021298</v>
      </c>
      <c r="Z30" s="165">
        <f>Z$76*'TABLE 4 - October 2016 Dataset'!O30</f>
        <v>240.85106382978711</v>
      </c>
      <c r="AA30" s="165">
        <f>AA$76*'TABLE 4 - October 2016 Dataset'!P30</f>
        <v>2207.8014184397189</v>
      </c>
      <c r="AB30" s="162">
        <f t="shared" si="11"/>
        <v>45653.411576298327</v>
      </c>
      <c r="AC30" s="140">
        <f>AC$76*'TABLE 4 - October 2016 Dataset'!Q30</f>
        <v>71264.980152490796</v>
      </c>
      <c r="AD30" s="140">
        <f>AD$76*'TABLE 4 - October 2016 Dataset'!R30</f>
        <v>8641.0079051383364</v>
      </c>
      <c r="AE30" s="140">
        <f>AE$76*'TABLE 4 - October 2016 Dataset'!S30</f>
        <v>0</v>
      </c>
      <c r="AF30" s="140">
        <f t="shared" si="12"/>
        <v>110000</v>
      </c>
      <c r="AG30" s="140">
        <f>IF('TABLE 4 - October 2016 Dataset'!X30="No",0,"*CHECK*")</f>
        <v>0</v>
      </c>
      <c r="AH30" s="140">
        <f>'TABLE 4 - October 2016 Dataset'!Y30</f>
        <v>28560</v>
      </c>
      <c r="AI30" s="170">
        <f>IF('TABLE 4 - October 2016 Dataset'!Z30&gt;0,('TABLE 4 - October 2016 Dataset'!Z30*(1+'TABLE 1 - 2018-19 Provisional'!AI$79)*(1+AI$79))-((AI$76*SUM('TABLE 4 - October 2016 Dataset'!F30:H30))+AI$77),0)</f>
        <v>0</v>
      </c>
      <c r="AJ30" s="166" t="str">
        <f>IF('TABLE 4 - October 2016 Dataset'!AA30="Yes",'TABLE 2 - 2019-20 Illustrative'!AJ$76*SUM('TABLE 4 - October 2016 Dataset'!F30:H30),"")</f>
        <v/>
      </c>
      <c r="AK30" s="140">
        <f t="shared" si="13"/>
        <v>0</v>
      </c>
      <c r="AL30" s="94">
        <f t="shared" si="14"/>
        <v>1041517.5696339273</v>
      </c>
      <c r="AM30" s="103"/>
      <c r="AN30" s="80">
        <f t="shared" si="2"/>
        <v>1012957.5696339273</v>
      </c>
      <c r="AO30" s="165">
        <f>AN30/SUM('TABLE 4 - October 2016 Dataset'!F30:H30)</f>
        <v>3579.3553697311918</v>
      </c>
      <c r="AP30" s="165">
        <f t="shared" si="3"/>
        <v>0</v>
      </c>
      <c r="AQ30" s="165">
        <f>AP30*SUM('TABLE 4 - October 2016 Dataset'!F30:H30)</f>
        <v>0</v>
      </c>
      <c r="AR30" s="94">
        <f t="shared" si="15"/>
        <v>1041517.5696339273</v>
      </c>
      <c r="AS30" s="103"/>
      <c r="AT30" s="80">
        <f>N30-(AF30+AG30+'TABLE 4 - October 2016 Dataset'!Y30)</f>
        <v>835790.61594525084</v>
      </c>
      <c r="AU30" s="187">
        <f t="shared" si="16"/>
        <v>902957.56963392731</v>
      </c>
      <c r="AV30" s="165">
        <f t="shared" si="17"/>
        <v>2953.3237312553033</v>
      </c>
      <c r="AW30" s="165">
        <f>AU30/SUM('TABLE 4 - October 2016 Dataset'!F30:H30)</f>
        <v>3190.6627902258915</v>
      </c>
      <c r="AX30" s="173">
        <f t="shared" si="18"/>
        <v>8.0363373801120019E-2</v>
      </c>
      <c r="AY30" s="173">
        <f t="shared" si="19"/>
        <v>0</v>
      </c>
      <c r="AZ30" s="175">
        <f t="shared" si="20"/>
        <v>0</v>
      </c>
      <c r="BA30" s="165">
        <f t="shared" si="21"/>
        <v>0</v>
      </c>
      <c r="BB30" s="94">
        <f t="shared" si="22"/>
        <v>1041517.5696339273</v>
      </c>
      <c r="BC30" s="103"/>
      <c r="BD30" s="184">
        <f>'TABLE 1 - 2018-19 Provisional'!BR30-('TABLE 2 - 2019-20 Illustrative'!AF30+'TABLE 2 - 2019-20 Illustrative'!AG30+'TABLE 1 - 2018-19 Provisional'!AH30)</f>
        <v>860864.33442360826</v>
      </c>
      <c r="BE30" s="165">
        <f>BD30/SUM('TABLE 4 - October 2016 Dataset'!F30:H30)</f>
        <v>3041.9234431929622</v>
      </c>
      <c r="BF30" s="173">
        <f t="shared" si="23"/>
        <v>3.0000000000000027E-2</v>
      </c>
      <c r="BG30" s="173">
        <f t="shared" si="24"/>
        <v>4.8896479418563121E-2</v>
      </c>
      <c r="BH30" s="173">
        <f>'TABLE 1 - 2018-19 Provisional'!BF30</f>
        <v>8.0363373801120019E-2</v>
      </c>
      <c r="BI30" s="185">
        <f t="shared" si="4"/>
        <v>9.7792958837126243E-3</v>
      </c>
      <c r="BJ30" s="185">
        <f t="shared" si="5"/>
        <v>0.03</v>
      </c>
      <c r="BK30" s="173">
        <f t="shared" si="6"/>
        <v>-1.8896479418563122E-2</v>
      </c>
      <c r="BL30" s="175">
        <f t="shared" si="7"/>
        <v>-57.48164373714048</v>
      </c>
      <c r="BM30" s="165">
        <f>BL30*SUM('TABLE 4 - October 2016 Dataset'!F30:H30)</f>
        <v>-16267.305177610757</v>
      </c>
      <c r="BN30" s="94">
        <f t="shared" si="8"/>
        <v>1025250.2644563166</v>
      </c>
      <c r="BO30" s="103"/>
      <c r="BP30" s="179">
        <f t="shared" si="9"/>
        <v>996690.2644563166</v>
      </c>
      <c r="BQ30" s="175">
        <f>BP30/SUM('TABLE 4 - October 2016 Dataset'!F30:H30)</f>
        <v>3521.8737259940517</v>
      </c>
      <c r="BR30" s="175">
        <f t="shared" si="25"/>
        <v>0</v>
      </c>
      <c r="BS30" s="175">
        <f>BR30*SUM('TABLE 4 - October 2016 Dataset'!F30:H30)</f>
        <v>0</v>
      </c>
      <c r="BT30" s="94">
        <f t="shared" si="26"/>
        <v>1025250.2644563166</v>
      </c>
      <c r="BU30" s="103"/>
      <c r="BV30" s="80">
        <f t="shared" si="27"/>
        <v>974350.61594525084</v>
      </c>
      <c r="BW30" s="122">
        <f t="shared" si="28"/>
        <v>3442.9350386757978</v>
      </c>
      <c r="BX30" s="264">
        <f t="shared" si="29"/>
        <v>1025250.2644563166</v>
      </c>
      <c r="BY30" s="81">
        <f>BX30/SUM('TABLE 4 - October 2016 Dataset'!F30:H30)</f>
        <v>3622.792453909246</v>
      </c>
      <c r="BZ30" s="264">
        <f t="shared" si="30"/>
        <v>50899.648511065752</v>
      </c>
      <c r="CA30" s="81">
        <f t="shared" si="31"/>
        <v>179.85741523344814</v>
      </c>
      <c r="CB30" s="269">
        <f t="shared" si="32"/>
        <v>5.223956107595451E-2</v>
      </c>
      <c r="CC30" s="103"/>
      <c r="CD30" s="80">
        <f>'TABLE 5 - DfE Published Figures'!O29</f>
        <v>1019000</v>
      </c>
      <c r="CE30" s="84">
        <f t="shared" si="33"/>
        <v>6000</v>
      </c>
      <c r="CF30" s="81"/>
      <c r="CG30" s="81"/>
      <c r="CH30" s="81"/>
      <c r="CI30" s="81"/>
      <c r="CJ30" s="2"/>
    </row>
    <row r="31" spans="2:88" ht="15.75">
      <c r="B31" s="198">
        <v>3158</v>
      </c>
      <c r="C31" s="60" t="s">
        <v>38</v>
      </c>
      <c r="D31" s="204"/>
      <c r="F31" s="80">
        <v>197</v>
      </c>
      <c r="G31" s="163"/>
      <c r="H31" s="164">
        <v>-1</v>
      </c>
      <c r="I31" s="94">
        <f t="shared" si="0"/>
        <v>196</v>
      </c>
      <c r="J31" s="103"/>
      <c r="K31" s="80">
        <v>697344.84984038863</v>
      </c>
      <c r="L31" s="163"/>
      <c r="M31" s="163"/>
      <c r="N31" s="94">
        <f t="shared" si="1"/>
        <v>697344.84984038863</v>
      </c>
      <c r="O31" s="103"/>
      <c r="P31" s="80">
        <f>P$76*'TABLE 4 - October 2016 Dataset'!F31</f>
        <v>538410.03999999992</v>
      </c>
      <c r="Q31" s="160"/>
      <c r="R31" s="161"/>
      <c r="S31" s="162">
        <f t="shared" si="10"/>
        <v>538410.03999999992</v>
      </c>
      <c r="T31" s="165">
        <f>T$76*'TABLE 4 - October 2016 Dataset'!I31</f>
        <v>1320.0000000000007</v>
      </c>
      <c r="U31" s="165">
        <f>U$76*'TABLE 4 - October 2016 Dataset'!J31</f>
        <v>5345.454545454546</v>
      </c>
      <c r="V31" s="165">
        <f>V$76*'TABLE 4 - October 2016 Dataset'!K31</f>
        <v>0</v>
      </c>
      <c r="W31" s="165">
        <f>W$76*'TABLE 4 - October 2016 Dataset'!L31</f>
        <v>848.65979381443594</v>
      </c>
      <c r="X31" s="165">
        <f>X$76*'TABLE 4 - October 2016 Dataset'!M31</f>
        <v>394.02061855670092</v>
      </c>
      <c r="Y31" s="165">
        <f>Y$76*'TABLE 4 - October 2016 Dataset'!N31</f>
        <v>0</v>
      </c>
      <c r="Z31" s="165">
        <f>Z$76*'TABLE 4 - October 2016 Dataset'!O31</f>
        <v>0</v>
      </c>
      <c r="AA31" s="165">
        <f>AA$76*'TABLE 4 - October 2016 Dataset'!P31</f>
        <v>5051.5463917525658</v>
      </c>
      <c r="AB31" s="162">
        <f t="shared" si="11"/>
        <v>12959.68134957825</v>
      </c>
      <c r="AC31" s="140">
        <f>AC$76*'TABLE 4 - October 2016 Dataset'!Q31</f>
        <v>43604.265977848219</v>
      </c>
      <c r="AD31" s="140">
        <f>AD$76*'TABLE 4 - October 2016 Dataset'!R31</f>
        <v>17528.502994011931</v>
      </c>
      <c r="AE31" s="140">
        <f>AE$76*'TABLE 4 - October 2016 Dataset'!S31</f>
        <v>0</v>
      </c>
      <c r="AF31" s="140">
        <f t="shared" si="12"/>
        <v>110000</v>
      </c>
      <c r="AG31" s="140">
        <f>IF('TABLE 4 - October 2016 Dataset'!X31="No",0,"*CHECK*")</f>
        <v>0</v>
      </c>
      <c r="AH31" s="140">
        <f>'TABLE 4 - October 2016 Dataset'!Y31</f>
        <v>15921.64</v>
      </c>
      <c r="AI31" s="170">
        <f>IF('TABLE 4 - October 2016 Dataset'!Z31&gt;0,('TABLE 4 - October 2016 Dataset'!Z31*(1+'TABLE 1 - 2018-19 Provisional'!AI$79)*(1+AI$79))-((AI$76*SUM('TABLE 4 - October 2016 Dataset'!F31:H31))+AI$77),0)</f>
        <v>0</v>
      </c>
      <c r="AJ31" s="166" t="str">
        <f>IF('TABLE 4 - October 2016 Dataset'!AA31="Yes",'TABLE 2 - 2019-20 Illustrative'!AJ$76*SUM('TABLE 4 - October 2016 Dataset'!F31:H31),"")</f>
        <v/>
      </c>
      <c r="AK31" s="140">
        <f t="shared" si="13"/>
        <v>0</v>
      </c>
      <c r="AL31" s="94">
        <f t="shared" si="14"/>
        <v>738424.13032143831</v>
      </c>
      <c r="AM31" s="103"/>
      <c r="AN31" s="80">
        <f t="shared" si="2"/>
        <v>722502.49032143829</v>
      </c>
      <c r="AO31" s="165">
        <f>AN31/SUM('TABLE 4 - October 2016 Dataset'!F31:H31)</f>
        <v>3686.2371955175422</v>
      </c>
      <c r="AP31" s="165">
        <f t="shared" si="3"/>
        <v>0</v>
      </c>
      <c r="AQ31" s="165">
        <f>AP31*SUM('TABLE 4 - October 2016 Dataset'!F31:H31)</f>
        <v>0</v>
      </c>
      <c r="AR31" s="94">
        <f t="shared" si="15"/>
        <v>738424.13032143831</v>
      </c>
      <c r="AS31" s="103"/>
      <c r="AT31" s="80">
        <f>N31-(AF31+AG31+'TABLE 4 - October 2016 Dataset'!Y31)</f>
        <v>571423.20984038862</v>
      </c>
      <c r="AU31" s="187">
        <f t="shared" si="16"/>
        <v>612502.49032143829</v>
      </c>
      <c r="AV31" s="165">
        <f t="shared" si="17"/>
        <v>2915.4245400019827</v>
      </c>
      <c r="AW31" s="165">
        <f>AU31/SUM('TABLE 4 - October 2016 Dataset'!F31:H31)</f>
        <v>3125.0127057216241</v>
      </c>
      <c r="AX31" s="173">
        <f t="shared" si="18"/>
        <v>7.1889415364356779E-2</v>
      </c>
      <c r="AY31" s="173">
        <f t="shared" si="19"/>
        <v>0</v>
      </c>
      <c r="AZ31" s="175">
        <f t="shared" si="20"/>
        <v>0</v>
      </c>
      <c r="BA31" s="165">
        <f t="shared" si="21"/>
        <v>0</v>
      </c>
      <c r="BB31" s="94">
        <f t="shared" si="22"/>
        <v>738424.13032143831</v>
      </c>
      <c r="BC31" s="103"/>
      <c r="BD31" s="184">
        <f>'TABLE 1 - 2018-19 Provisional'!BR31-('TABLE 2 - 2019-20 Illustrative'!AF31+'TABLE 2 - 2019-20 Illustrative'!AG31+'TABLE 1 - 2018-19 Provisional'!AH31)</f>
        <v>588565.90613560029</v>
      </c>
      <c r="BE31" s="165">
        <f>BD31/SUM('TABLE 4 - October 2016 Dataset'!F31:H31)</f>
        <v>3002.8872762020424</v>
      </c>
      <c r="BF31" s="173">
        <f t="shared" si="23"/>
        <v>3.0000000000000027E-2</v>
      </c>
      <c r="BG31" s="173">
        <f t="shared" si="24"/>
        <v>4.0669335305200782E-2</v>
      </c>
      <c r="BH31" s="173">
        <f>'TABLE 1 - 2018-19 Provisional'!BF31</f>
        <v>7.1889415364356779E-2</v>
      </c>
      <c r="BI31" s="185">
        <f t="shared" si="4"/>
        <v>8.1338670610401568E-3</v>
      </c>
      <c r="BJ31" s="185">
        <f t="shared" si="5"/>
        <v>0.03</v>
      </c>
      <c r="BK31" s="173">
        <f t="shared" si="6"/>
        <v>-1.0669335305200783E-2</v>
      </c>
      <c r="BL31" s="175">
        <f t="shared" si="7"/>
        <v>-32.038811233520669</v>
      </c>
      <c r="BM31" s="165">
        <f>BL31*SUM('TABLE 4 - October 2016 Dataset'!F31:H31)</f>
        <v>-6279.6070017700513</v>
      </c>
      <c r="BN31" s="94">
        <f t="shared" si="8"/>
        <v>732144.52331966825</v>
      </c>
      <c r="BO31" s="103"/>
      <c r="BP31" s="179">
        <f t="shared" si="9"/>
        <v>716222.88331966824</v>
      </c>
      <c r="BQ31" s="175">
        <f>BP31/SUM('TABLE 4 - October 2016 Dataset'!F31:H31)</f>
        <v>3654.1983842840218</v>
      </c>
      <c r="BR31" s="175">
        <f t="shared" si="25"/>
        <v>0</v>
      </c>
      <c r="BS31" s="175">
        <f>BR31*SUM('TABLE 4 - October 2016 Dataset'!F31:H31)</f>
        <v>0</v>
      </c>
      <c r="BT31" s="94">
        <f t="shared" si="26"/>
        <v>732144.52331966825</v>
      </c>
      <c r="BU31" s="103"/>
      <c r="BV31" s="80">
        <f t="shared" si="27"/>
        <v>697344.84984038863</v>
      </c>
      <c r="BW31" s="122">
        <f t="shared" si="28"/>
        <v>3557.8818869407582</v>
      </c>
      <c r="BX31" s="264">
        <f t="shared" si="29"/>
        <v>732144.52331966825</v>
      </c>
      <c r="BY31" s="81">
        <f>BX31/SUM('TABLE 4 - October 2016 Dataset'!F31:H31)</f>
        <v>3735.4312414268788</v>
      </c>
      <c r="BZ31" s="264">
        <f t="shared" si="30"/>
        <v>34799.67347927962</v>
      </c>
      <c r="CA31" s="81">
        <f t="shared" si="31"/>
        <v>177.54935448612059</v>
      </c>
      <c r="CB31" s="269">
        <f t="shared" si="32"/>
        <v>4.9903105310442515E-2</v>
      </c>
      <c r="CC31" s="103"/>
      <c r="CD31" s="80">
        <f>'TABLE 5 - DfE Published Figures'!O30</f>
        <v>724000</v>
      </c>
      <c r="CE31" s="84">
        <f t="shared" si="33"/>
        <v>8000</v>
      </c>
      <c r="CF31" s="81"/>
      <c r="CG31" s="81"/>
      <c r="CH31" s="81"/>
      <c r="CI31" s="81"/>
      <c r="CJ31" s="2"/>
    </row>
    <row r="32" spans="2:88" ht="15.75">
      <c r="B32" s="198">
        <v>3159</v>
      </c>
      <c r="C32" s="60" t="s">
        <v>41</v>
      </c>
      <c r="D32" s="204"/>
      <c r="F32" s="80">
        <v>81</v>
      </c>
      <c r="G32" s="163"/>
      <c r="H32" s="164">
        <v>0</v>
      </c>
      <c r="I32" s="94">
        <f t="shared" si="0"/>
        <v>81</v>
      </c>
      <c r="J32" s="103"/>
      <c r="K32" s="80">
        <v>362539.93223416345</v>
      </c>
      <c r="L32" s="163"/>
      <c r="M32" s="163"/>
      <c r="N32" s="94">
        <f t="shared" si="1"/>
        <v>362539.93223416345</v>
      </c>
      <c r="O32" s="103"/>
      <c r="P32" s="80">
        <f>P$76*'TABLE 4 - October 2016 Dataset'!F32</f>
        <v>222506.18999999997</v>
      </c>
      <c r="Q32" s="160"/>
      <c r="R32" s="161"/>
      <c r="S32" s="162">
        <f t="shared" si="10"/>
        <v>222506.18999999997</v>
      </c>
      <c r="T32" s="165">
        <f>T$76*'TABLE 4 - October 2016 Dataset'!I32</f>
        <v>440.00000000000068</v>
      </c>
      <c r="U32" s="165">
        <f>U$76*'TABLE 4 - October 2016 Dataset'!J32</f>
        <v>3780</v>
      </c>
      <c r="V32" s="165">
        <f>V$76*'TABLE 4 - October 2016 Dataset'!K32</f>
        <v>0</v>
      </c>
      <c r="W32" s="165">
        <f>W$76*'TABLE 4 - October 2016 Dataset'!L32</f>
        <v>420.00000000000063</v>
      </c>
      <c r="X32" s="165">
        <f>X$76*'TABLE 4 - October 2016 Dataset'!M32</f>
        <v>0</v>
      </c>
      <c r="Y32" s="165">
        <f>Y$76*'TABLE 4 - October 2016 Dataset'!N32</f>
        <v>0</v>
      </c>
      <c r="Z32" s="165">
        <f>Z$76*'TABLE 4 - October 2016 Dataset'!O32</f>
        <v>0</v>
      </c>
      <c r="AA32" s="165">
        <f>AA$76*'TABLE 4 - October 2016 Dataset'!P32</f>
        <v>0</v>
      </c>
      <c r="AB32" s="162">
        <f t="shared" si="11"/>
        <v>4640.0000000000018</v>
      </c>
      <c r="AC32" s="140">
        <f>AC$76*'TABLE 4 - October 2016 Dataset'!Q32</f>
        <v>20574.074930619798</v>
      </c>
      <c r="AD32" s="140">
        <f>AD$76*'TABLE 4 - October 2016 Dataset'!R32</f>
        <v>0</v>
      </c>
      <c r="AE32" s="140">
        <f>AE$76*'TABLE 4 - October 2016 Dataset'!S32</f>
        <v>0</v>
      </c>
      <c r="AF32" s="140">
        <f t="shared" si="12"/>
        <v>110000</v>
      </c>
      <c r="AG32" s="140">
        <f>IF('TABLE 4 - October 2016 Dataset'!X32="No",0,"*CHECK*")</f>
        <v>0</v>
      </c>
      <c r="AH32" s="140">
        <f>'TABLE 4 - October 2016 Dataset'!Y32</f>
        <v>0</v>
      </c>
      <c r="AI32" s="170">
        <f>IF('TABLE 4 - October 2016 Dataset'!Z32&gt;0,('TABLE 4 - October 2016 Dataset'!Z32*(1+'TABLE 1 - 2018-19 Provisional'!AI$79)*(1+AI$79))-((AI$76*SUM('TABLE 4 - October 2016 Dataset'!F32:H32))+AI$77),0)</f>
        <v>0</v>
      </c>
      <c r="AJ32" s="166" t="str">
        <f>IF('TABLE 4 - October 2016 Dataset'!AA32="Yes",'TABLE 2 - 2019-20 Illustrative'!AJ$76*SUM('TABLE 4 - October 2016 Dataset'!F32:H32),"")</f>
        <v/>
      </c>
      <c r="AK32" s="140">
        <f t="shared" si="13"/>
        <v>0</v>
      </c>
      <c r="AL32" s="94">
        <f t="shared" si="14"/>
        <v>357720.26493061974</v>
      </c>
      <c r="AM32" s="103"/>
      <c r="AN32" s="80">
        <f t="shared" si="2"/>
        <v>357720.26493061974</v>
      </c>
      <c r="AO32" s="165">
        <f>AN32/SUM('TABLE 4 - October 2016 Dataset'!F32:H32)</f>
        <v>4416.299567044688</v>
      </c>
      <c r="AP32" s="165">
        <f t="shared" si="3"/>
        <v>0</v>
      </c>
      <c r="AQ32" s="165">
        <f>AP32*SUM('TABLE 4 - October 2016 Dataset'!F32:H32)</f>
        <v>0</v>
      </c>
      <c r="AR32" s="94">
        <f t="shared" si="15"/>
        <v>357720.26493061974</v>
      </c>
      <c r="AS32" s="103"/>
      <c r="AT32" s="80">
        <f>N32-(AF32+AG32+'TABLE 4 - October 2016 Dataset'!Y32)</f>
        <v>252539.93223416345</v>
      </c>
      <c r="AU32" s="187">
        <f t="shared" si="16"/>
        <v>247720.26493061974</v>
      </c>
      <c r="AV32" s="165">
        <f t="shared" si="17"/>
        <v>3117.7769411625118</v>
      </c>
      <c r="AW32" s="165">
        <f>AU32/SUM('TABLE 4 - October 2016 Dataset'!F32:H32)</f>
        <v>3058.2748756866636</v>
      </c>
      <c r="AX32" s="173">
        <f t="shared" si="18"/>
        <v>-1.9084773092735041E-2</v>
      </c>
      <c r="AY32" s="173">
        <f t="shared" si="19"/>
        <v>2.9084773092735043E-2</v>
      </c>
      <c r="AZ32" s="175">
        <f t="shared" si="20"/>
        <v>90.679834887473191</v>
      </c>
      <c r="BA32" s="165">
        <f t="shared" si="21"/>
        <v>7345.0666258853289</v>
      </c>
      <c r="BB32" s="94">
        <f t="shared" si="22"/>
        <v>365065.33155650506</v>
      </c>
      <c r="BC32" s="103"/>
      <c r="BD32" s="184">
        <f>'TABLE 1 - 2018-19 Provisional'!BR32-('TABLE 2 - 2019-20 Illustrative'!AF32+'TABLE 2 - 2019-20 Illustrative'!AG32+'TABLE 1 - 2018-19 Provisional'!AH32)</f>
        <v>253802.63189533423</v>
      </c>
      <c r="BE32" s="165">
        <f>BD32/SUM('TABLE 4 - October 2016 Dataset'!F32:H32)</f>
        <v>3133.365825868324</v>
      </c>
      <c r="BF32" s="173">
        <f t="shared" si="23"/>
        <v>4.9999999999998934E-3</v>
      </c>
      <c r="BG32" s="173">
        <f t="shared" si="24"/>
        <v>-2.3964948350980064E-2</v>
      </c>
      <c r="BH32" s="173">
        <f>'TABLE 1 - 2018-19 Provisional'!BF32</f>
        <v>-1.9084773092735041E-2</v>
      </c>
      <c r="BI32" s="185" t="str">
        <f t="shared" si="4"/>
        <v xml:space="preserve">            NA</v>
      </c>
      <c r="BJ32" s="185">
        <f t="shared" si="5"/>
        <v>5.0000000000000001E-3</v>
      </c>
      <c r="BK32" s="173">
        <f t="shared" si="6"/>
        <v>0</v>
      </c>
      <c r="BL32" s="175">
        <f t="shared" si="7"/>
        <v>0</v>
      </c>
      <c r="BM32" s="165">
        <f>BL32*SUM('TABLE 4 - October 2016 Dataset'!F32:H32)</f>
        <v>0</v>
      </c>
      <c r="BN32" s="94">
        <f t="shared" si="8"/>
        <v>365065.33155650506</v>
      </c>
      <c r="BO32" s="103"/>
      <c r="BP32" s="179">
        <f t="shared" si="9"/>
        <v>365065.33155650506</v>
      </c>
      <c r="BQ32" s="175">
        <f>BP32/SUM('TABLE 4 - October 2016 Dataset'!F32:H32)</f>
        <v>4506.9794019321616</v>
      </c>
      <c r="BR32" s="175">
        <f t="shared" si="25"/>
        <v>0</v>
      </c>
      <c r="BS32" s="175">
        <f>BR32*SUM('TABLE 4 - October 2016 Dataset'!F32:H32)</f>
        <v>0</v>
      </c>
      <c r="BT32" s="94">
        <f t="shared" si="26"/>
        <v>365065.33155650506</v>
      </c>
      <c r="BU32" s="103"/>
      <c r="BV32" s="80">
        <f t="shared" si="27"/>
        <v>362539.93223416345</v>
      </c>
      <c r="BW32" s="122">
        <f t="shared" si="28"/>
        <v>4475.8016325205363</v>
      </c>
      <c r="BX32" s="264">
        <f t="shared" si="29"/>
        <v>365065.33155650506</v>
      </c>
      <c r="BY32" s="81">
        <f>BX32/SUM('TABLE 4 - October 2016 Dataset'!F32:H32)</f>
        <v>4506.9794019321616</v>
      </c>
      <c r="BZ32" s="264">
        <f t="shared" si="30"/>
        <v>2525.3993223416037</v>
      </c>
      <c r="CA32" s="81">
        <f t="shared" si="31"/>
        <v>31.177769411625377</v>
      </c>
      <c r="CB32" s="269">
        <f t="shared" si="32"/>
        <v>6.965851476770586E-3</v>
      </c>
      <c r="CC32" s="103"/>
      <c r="CD32" s="80">
        <f>'TABLE 5 - DfE Published Figures'!O31</f>
        <v>363000</v>
      </c>
      <c r="CE32" s="84">
        <f t="shared" si="33"/>
        <v>2000</v>
      </c>
      <c r="CF32" s="81"/>
      <c r="CG32" s="81"/>
      <c r="CH32" s="81"/>
      <c r="CI32" s="81"/>
      <c r="CJ32" s="2"/>
    </row>
    <row r="33" spans="2:88" ht="15.75">
      <c r="B33" s="198">
        <v>3901</v>
      </c>
      <c r="C33" s="60" t="s">
        <v>65</v>
      </c>
      <c r="D33" s="204" t="s">
        <v>70</v>
      </c>
      <c r="F33" s="80">
        <v>181</v>
      </c>
      <c r="G33" s="163"/>
      <c r="H33" s="164">
        <v>0</v>
      </c>
      <c r="I33" s="94">
        <f t="shared" si="0"/>
        <v>181</v>
      </c>
      <c r="J33" s="103"/>
      <c r="K33" s="80">
        <v>697890.7389950233</v>
      </c>
      <c r="L33" s="163"/>
      <c r="M33" s="163"/>
      <c r="N33" s="94">
        <f t="shared" si="1"/>
        <v>697890.7389950233</v>
      </c>
      <c r="O33" s="103"/>
      <c r="P33" s="80">
        <f>P$76*'TABLE 4 - October 2016 Dataset'!F33</f>
        <v>497205.18999999994</v>
      </c>
      <c r="Q33" s="160"/>
      <c r="R33" s="161"/>
      <c r="S33" s="162">
        <f t="shared" si="10"/>
        <v>497205.18999999994</v>
      </c>
      <c r="T33" s="165">
        <f>T$76*'TABLE 4 - October 2016 Dataset'!I33</f>
        <v>10560.000000000005</v>
      </c>
      <c r="U33" s="165">
        <f>U$76*'TABLE 4 - October 2016 Dataset'!J33</f>
        <v>26514.574468085102</v>
      </c>
      <c r="V33" s="165">
        <f>V$76*'TABLE 4 - October 2016 Dataset'!K33</f>
        <v>0</v>
      </c>
      <c r="W33" s="165">
        <f>W$76*'TABLE 4 - October 2016 Dataset'!L33</f>
        <v>0</v>
      </c>
      <c r="X33" s="165">
        <f>X$76*'TABLE 4 - October 2016 Dataset'!M33</f>
        <v>394.3575418994414</v>
      </c>
      <c r="Y33" s="165">
        <f>Y$76*'TABLE 4 - October 2016 Dataset'!N33</f>
        <v>1092.0670391061419</v>
      </c>
      <c r="Z33" s="165">
        <f>Z$76*'TABLE 4 - October 2016 Dataset'!O33</f>
        <v>19414.525139664805</v>
      </c>
      <c r="AA33" s="165">
        <f>AA$76*'TABLE 4 - October 2016 Dataset'!P33</f>
        <v>202.2346368715084</v>
      </c>
      <c r="AB33" s="162">
        <f t="shared" si="11"/>
        <v>58177.75882562701</v>
      </c>
      <c r="AC33" s="140">
        <f>AC$76*'TABLE 4 - October 2016 Dataset'!Q33</f>
        <v>55553.076923076871</v>
      </c>
      <c r="AD33" s="140">
        <f>AD$76*'TABLE 4 - October 2016 Dataset'!R33</f>
        <v>1792.5961538461511</v>
      </c>
      <c r="AE33" s="140">
        <f>AE$76*'TABLE 4 - October 2016 Dataset'!S33</f>
        <v>0</v>
      </c>
      <c r="AF33" s="140">
        <f t="shared" si="12"/>
        <v>110000</v>
      </c>
      <c r="AG33" s="140">
        <f>IF('TABLE 4 - October 2016 Dataset'!X33="No",0,"*CHECK*")</f>
        <v>0</v>
      </c>
      <c r="AH33" s="140">
        <f>'TABLE 4 - October 2016 Dataset'!Y33</f>
        <v>3768</v>
      </c>
      <c r="AI33" s="170">
        <f>IF('TABLE 4 - October 2016 Dataset'!Z33&gt;0,('TABLE 4 - October 2016 Dataset'!Z33*(1+'TABLE 1 - 2018-19 Provisional'!AI$79)*(1+AI$79))-((AI$76*SUM('TABLE 4 - October 2016 Dataset'!F33:H33))+AI$77),0)</f>
        <v>0</v>
      </c>
      <c r="AJ33" s="166" t="str">
        <f>IF('TABLE 4 - October 2016 Dataset'!AA33="Yes",'TABLE 2 - 2019-20 Illustrative'!AJ$76*SUM('TABLE 4 - October 2016 Dataset'!F33:H33),"")</f>
        <v/>
      </c>
      <c r="AK33" s="140">
        <f t="shared" si="13"/>
        <v>0</v>
      </c>
      <c r="AL33" s="94">
        <f t="shared" si="14"/>
        <v>726496.62190254999</v>
      </c>
      <c r="AM33" s="103"/>
      <c r="AN33" s="80">
        <f t="shared" si="2"/>
        <v>722728.62190254999</v>
      </c>
      <c r="AO33" s="165">
        <f>AN33/SUM('TABLE 4 - October 2016 Dataset'!F33:H33)</f>
        <v>3992.9758116162984</v>
      </c>
      <c r="AP33" s="165">
        <f t="shared" si="3"/>
        <v>0</v>
      </c>
      <c r="AQ33" s="165">
        <f>AP33*SUM('TABLE 4 - October 2016 Dataset'!F33:H33)</f>
        <v>0</v>
      </c>
      <c r="AR33" s="94">
        <f t="shared" si="15"/>
        <v>726496.62190254999</v>
      </c>
      <c r="AS33" s="103"/>
      <c r="AT33" s="80">
        <f>N33-(AF33+AG33+'TABLE 4 - October 2016 Dataset'!Y33)</f>
        <v>584122.7389950233</v>
      </c>
      <c r="AU33" s="187">
        <f t="shared" si="16"/>
        <v>612728.62190254999</v>
      </c>
      <c r="AV33" s="165">
        <f t="shared" si="17"/>
        <v>3227.1974530111784</v>
      </c>
      <c r="AW33" s="165">
        <f>AU33/SUM('TABLE 4 - October 2016 Dataset'!F33:H33)</f>
        <v>3385.2410049864638</v>
      </c>
      <c r="AX33" s="173">
        <f t="shared" si="18"/>
        <v>4.8972383709531275E-2</v>
      </c>
      <c r="AY33" s="173">
        <f t="shared" si="19"/>
        <v>0</v>
      </c>
      <c r="AZ33" s="175">
        <f t="shared" si="20"/>
        <v>0</v>
      </c>
      <c r="BA33" s="165">
        <f t="shared" si="21"/>
        <v>0</v>
      </c>
      <c r="BB33" s="94">
        <f t="shared" si="22"/>
        <v>726496.62190254999</v>
      </c>
      <c r="BC33" s="103"/>
      <c r="BD33" s="184">
        <f>'TABLE 1 - 2018-19 Provisional'!BR33-('TABLE 2 - 2019-20 Illustrative'!AF33+'TABLE 2 - 2019-20 Illustrative'!AG33+'TABLE 1 - 2018-19 Provisional'!AH33)</f>
        <v>601646.42116487399</v>
      </c>
      <c r="BE33" s="165">
        <f>BD33/SUM('TABLE 4 - October 2016 Dataset'!F33:H33)</f>
        <v>3324.0133766015138</v>
      </c>
      <c r="BF33" s="173">
        <f t="shared" si="23"/>
        <v>3.0000000000000027E-2</v>
      </c>
      <c r="BG33" s="173">
        <f t="shared" si="24"/>
        <v>1.8419790009253756E-2</v>
      </c>
      <c r="BH33" s="173">
        <f>'TABLE 1 - 2018-19 Provisional'!BF33</f>
        <v>4.8972383709531275E-2</v>
      </c>
      <c r="BI33" s="185">
        <f t="shared" si="4"/>
        <v>3.6839580018507515E-3</v>
      </c>
      <c r="BJ33" s="185">
        <f t="shared" si="5"/>
        <v>1.8419790009253756E-2</v>
      </c>
      <c r="BK33" s="173">
        <f t="shared" si="6"/>
        <v>0</v>
      </c>
      <c r="BL33" s="175">
        <f t="shared" si="7"/>
        <v>0</v>
      </c>
      <c r="BM33" s="165">
        <f>BL33*SUM('TABLE 4 - October 2016 Dataset'!F33:H33)</f>
        <v>0</v>
      </c>
      <c r="BN33" s="94">
        <f t="shared" si="8"/>
        <v>726496.62190254999</v>
      </c>
      <c r="BO33" s="103"/>
      <c r="BP33" s="179">
        <f t="shared" si="9"/>
        <v>722728.62190254999</v>
      </c>
      <c r="BQ33" s="175">
        <f>BP33/SUM('TABLE 4 - October 2016 Dataset'!F33:H33)</f>
        <v>3992.9758116162984</v>
      </c>
      <c r="BR33" s="175">
        <f t="shared" si="25"/>
        <v>0</v>
      </c>
      <c r="BS33" s="175">
        <f>BR33*SUM('TABLE 4 - October 2016 Dataset'!F33:H33)</f>
        <v>0</v>
      </c>
      <c r="BT33" s="94">
        <f t="shared" si="26"/>
        <v>726496.62190254999</v>
      </c>
      <c r="BU33" s="103"/>
      <c r="BV33" s="80">
        <f t="shared" si="27"/>
        <v>697890.7389950233</v>
      </c>
      <c r="BW33" s="122">
        <f t="shared" si="28"/>
        <v>3855.7499391990236</v>
      </c>
      <c r="BX33" s="264">
        <f t="shared" si="29"/>
        <v>726496.62190254999</v>
      </c>
      <c r="BY33" s="81">
        <f>BX33/SUM('TABLE 4 - October 2016 Dataset'!F33:H33)</f>
        <v>4013.7934911743091</v>
      </c>
      <c r="BZ33" s="264">
        <f t="shared" si="30"/>
        <v>28605.882907526684</v>
      </c>
      <c r="CA33" s="81">
        <f t="shared" si="31"/>
        <v>158.04355197528548</v>
      </c>
      <c r="CB33" s="269">
        <f t="shared" si="32"/>
        <v>4.0989056465657821E-2</v>
      </c>
      <c r="CC33" s="103"/>
      <c r="CD33" s="80">
        <f>'TABLE 5 - DfE Published Figures'!O32</f>
        <v>726000</v>
      </c>
      <c r="CE33" s="84">
        <f t="shared" si="33"/>
        <v>0</v>
      </c>
      <c r="CF33" s="81"/>
      <c r="CG33" s="81"/>
      <c r="CH33" s="81"/>
      <c r="CI33" s="81"/>
      <c r="CJ33" s="2"/>
    </row>
    <row r="34" spans="2:88" ht="15.75">
      <c r="B34" s="198">
        <v>2176</v>
      </c>
      <c r="C34" s="60" t="s">
        <v>42</v>
      </c>
      <c r="D34" s="204"/>
      <c r="F34" s="80">
        <v>302</v>
      </c>
      <c r="G34" s="163"/>
      <c r="H34" s="164">
        <v>0</v>
      </c>
      <c r="I34" s="94">
        <f t="shared" si="0"/>
        <v>302</v>
      </c>
      <c r="J34" s="103"/>
      <c r="K34" s="80">
        <v>1167762.1229248489</v>
      </c>
      <c r="L34" s="163"/>
      <c r="M34" s="163"/>
      <c r="N34" s="94">
        <f t="shared" si="1"/>
        <v>1167762.1229248489</v>
      </c>
      <c r="O34" s="103"/>
      <c r="P34" s="80">
        <f>P$76*'TABLE 4 - October 2016 Dataset'!F34</f>
        <v>829590.98</v>
      </c>
      <c r="Q34" s="160"/>
      <c r="R34" s="161"/>
      <c r="S34" s="162">
        <f t="shared" si="10"/>
        <v>829590.98</v>
      </c>
      <c r="T34" s="165">
        <f>T$76*'TABLE 4 - October 2016 Dataset'!I34</f>
        <v>18040.000000000065</v>
      </c>
      <c r="U34" s="165">
        <f>U$76*'TABLE 4 - October 2016 Dataset'!J34</f>
        <v>48718.867924528298</v>
      </c>
      <c r="V34" s="165">
        <f>V$76*'TABLE 4 - October 2016 Dataset'!K34</f>
        <v>0</v>
      </c>
      <c r="W34" s="165">
        <f>W$76*'TABLE 4 - October 2016 Dataset'!L34</f>
        <v>20717.199999999957</v>
      </c>
      <c r="X34" s="165">
        <f>X$76*'TABLE 4 - October 2016 Dataset'!M34</f>
        <v>1963.0000000000041</v>
      </c>
      <c r="Y34" s="165">
        <f>Y$76*'TABLE 4 - October 2016 Dataset'!N34</f>
        <v>0</v>
      </c>
      <c r="Z34" s="165">
        <f>Z$76*'TABLE 4 - October 2016 Dataset'!O34</f>
        <v>241.59999999999977</v>
      </c>
      <c r="AA34" s="165">
        <f>AA$76*'TABLE 4 - October 2016 Dataset'!P34</f>
        <v>18120</v>
      </c>
      <c r="AB34" s="162">
        <f t="shared" si="11"/>
        <v>107800.66792452833</v>
      </c>
      <c r="AC34" s="140">
        <f>AC$76*'TABLE 4 - October 2016 Dataset'!Q34</f>
        <v>114652.4610373497</v>
      </c>
      <c r="AD34" s="140">
        <f>AD$76*'TABLE 4 - October 2016 Dataset'!R34</f>
        <v>19295.075187969949</v>
      </c>
      <c r="AE34" s="140">
        <f>AE$76*'TABLE 4 - October 2016 Dataset'!S34</f>
        <v>4834.8000000000557</v>
      </c>
      <c r="AF34" s="140">
        <f t="shared" si="12"/>
        <v>110000</v>
      </c>
      <c r="AG34" s="140">
        <f>IF('TABLE 4 - October 2016 Dataset'!X34="No",0,"*CHECK*")</f>
        <v>0</v>
      </c>
      <c r="AH34" s="140">
        <f>'TABLE 4 - October 2016 Dataset'!Y34</f>
        <v>21734.68</v>
      </c>
      <c r="AI34" s="170">
        <f>IF('TABLE 4 - October 2016 Dataset'!Z34&gt;0,('TABLE 4 - October 2016 Dataset'!Z34*(1+'TABLE 1 - 2018-19 Provisional'!AI$79)*(1+AI$79))-((AI$76*SUM('TABLE 4 - October 2016 Dataset'!F34:H34))+AI$77),0)</f>
        <v>0</v>
      </c>
      <c r="AJ34" s="140">
        <f>IF('TABLE 4 - October 2016 Dataset'!AA34="Yes",'TABLE 2 - 2019-20 Illustrative'!AJ$76*SUM('TABLE 4 - October 2016 Dataset'!F34:H34),"")</f>
        <v>59796</v>
      </c>
      <c r="AK34" s="140">
        <f t="shared" si="13"/>
        <v>0</v>
      </c>
      <c r="AL34" s="94">
        <f t="shared" si="14"/>
        <v>1267704.664149848</v>
      </c>
      <c r="AM34" s="103"/>
      <c r="AN34" s="80">
        <f t="shared" si="2"/>
        <v>1186173.9841498481</v>
      </c>
      <c r="AO34" s="165">
        <f>AN34/SUM('TABLE 4 - October 2016 Dataset'!F34:H34)</f>
        <v>3927.7284243372455</v>
      </c>
      <c r="AP34" s="165">
        <f t="shared" si="3"/>
        <v>0</v>
      </c>
      <c r="AQ34" s="165">
        <f>AP34*SUM('TABLE 4 - October 2016 Dataset'!F34:H34)</f>
        <v>0</v>
      </c>
      <c r="AR34" s="94">
        <f t="shared" si="15"/>
        <v>1267704.664149848</v>
      </c>
      <c r="AS34" s="103"/>
      <c r="AT34" s="80">
        <f>N34-(AF34+AG34+'TABLE 4 - October 2016 Dataset'!Y34)</f>
        <v>1036027.442924849</v>
      </c>
      <c r="AU34" s="187">
        <f t="shared" si="16"/>
        <v>1135969.9841498481</v>
      </c>
      <c r="AV34" s="165">
        <f t="shared" si="17"/>
        <v>3430.5544467710233</v>
      </c>
      <c r="AW34" s="165">
        <f>AU34/SUM('TABLE 4 - October 2016 Dataset'!F34:H34)</f>
        <v>3761.4900137412187</v>
      </c>
      <c r="AX34" s="173">
        <f t="shared" si="18"/>
        <v>9.646707904073204E-2</v>
      </c>
      <c r="AY34" s="173">
        <f t="shared" si="19"/>
        <v>0</v>
      </c>
      <c r="AZ34" s="175">
        <f t="shared" si="20"/>
        <v>0</v>
      </c>
      <c r="BA34" s="165">
        <f t="shared" si="21"/>
        <v>0</v>
      </c>
      <c r="BB34" s="94">
        <f t="shared" si="22"/>
        <v>1267704.664149848</v>
      </c>
      <c r="BC34" s="103"/>
      <c r="BD34" s="184">
        <f>'TABLE 1 - 2018-19 Provisional'!BR34-('TABLE 2 - 2019-20 Illustrative'!AF34+'TABLE 2 - 2019-20 Illustrative'!AG34+'TABLE 1 - 2018-19 Provisional'!AH34)</f>
        <v>1067108.2662125947</v>
      </c>
      <c r="BE34" s="165">
        <f>BD34/SUM('TABLE 4 - October 2016 Dataset'!F34:H34)</f>
        <v>3533.4710801741544</v>
      </c>
      <c r="BF34" s="173">
        <f t="shared" si="23"/>
        <v>3.0000000000000027E-2</v>
      </c>
      <c r="BG34" s="173">
        <f t="shared" si="24"/>
        <v>6.4531144699739862E-2</v>
      </c>
      <c r="BH34" s="173">
        <f>'TABLE 1 - 2018-19 Provisional'!BF34</f>
        <v>9.646707904073204E-2</v>
      </c>
      <c r="BI34" s="185">
        <f t="shared" si="4"/>
        <v>1.2906228939947972E-2</v>
      </c>
      <c r="BJ34" s="185">
        <f t="shared" si="5"/>
        <v>0.03</v>
      </c>
      <c r="BK34" s="173">
        <f t="shared" si="6"/>
        <v>-3.4531144699739863E-2</v>
      </c>
      <c r="BL34" s="175">
        <f t="shared" si="7"/>
        <v>-122.01480116183984</v>
      </c>
      <c r="BM34" s="165">
        <f>BL34*SUM('TABLE 4 - October 2016 Dataset'!F34:H34)</f>
        <v>-36848.469950875631</v>
      </c>
      <c r="BN34" s="94">
        <f t="shared" si="8"/>
        <v>1230856.1941989723</v>
      </c>
      <c r="BO34" s="103"/>
      <c r="BP34" s="179">
        <f t="shared" si="9"/>
        <v>1149325.5141989724</v>
      </c>
      <c r="BQ34" s="175">
        <f>BP34/SUM('TABLE 4 - October 2016 Dataset'!F34:H34)</f>
        <v>3805.7136231754052</v>
      </c>
      <c r="BR34" s="175">
        <f t="shared" si="25"/>
        <v>0</v>
      </c>
      <c r="BS34" s="175">
        <f>BR34*SUM('TABLE 4 - October 2016 Dataset'!F34:H34)</f>
        <v>0</v>
      </c>
      <c r="BT34" s="94">
        <f t="shared" si="26"/>
        <v>1230856.1941989723</v>
      </c>
      <c r="BU34" s="103"/>
      <c r="BV34" s="80">
        <f t="shared" si="27"/>
        <v>1167762.1229248489</v>
      </c>
      <c r="BW34" s="122">
        <f t="shared" si="28"/>
        <v>3866.7619964398973</v>
      </c>
      <c r="BX34" s="264">
        <f t="shared" si="29"/>
        <v>1230856.1941989723</v>
      </c>
      <c r="BY34" s="81">
        <f>BX34/SUM('TABLE 4 - October 2016 Dataset'!F34:H34)</f>
        <v>4075.6827622482529</v>
      </c>
      <c r="BZ34" s="264">
        <f t="shared" si="30"/>
        <v>63094.071274123387</v>
      </c>
      <c r="CA34" s="81">
        <f t="shared" si="31"/>
        <v>208.92076580835555</v>
      </c>
      <c r="CB34" s="269">
        <f t="shared" si="32"/>
        <v>5.4029900469878302E-2</v>
      </c>
      <c r="CC34" s="103"/>
      <c r="CD34" s="80">
        <f>'TABLE 5 - DfE Published Figures'!O33</f>
        <v>1224000</v>
      </c>
      <c r="CE34" s="84">
        <f t="shared" si="33"/>
        <v>7000</v>
      </c>
      <c r="CF34" s="81"/>
      <c r="CG34" s="81"/>
      <c r="CH34" s="81"/>
      <c r="CI34" s="81"/>
      <c r="CJ34" s="2"/>
    </row>
    <row r="35" spans="2:88" ht="15.75">
      <c r="B35" s="198">
        <v>3904</v>
      </c>
      <c r="C35" s="60" t="s">
        <v>66</v>
      </c>
      <c r="D35" s="204"/>
      <c r="F35" s="80">
        <v>390</v>
      </c>
      <c r="G35" s="163"/>
      <c r="H35" s="164">
        <v>0</v>
      </c>
      <c r="I35" s="94">
        <f t="shared" si="0"/>
        <v>390</v>
      </c>
      <c r="J35" s="103"/>
      <c r="K35" s="80">
        <v>1285029.2520534801</v>
      </c>
      <c r="L35" s="163"/>
      <c r="M35" s="163"/>
      <c r="N35" s="94">
        <f t="shared" si="1"/>
        <v>1285029.2520534801</v>
      </c>
      <c r="O35" s="103"/>
      <c r="P35" s="80">
        <f>P$76*'TABLE 4 - October 2016 Dataset'!F35</f>
        <v>1071326.0999999999</v>
      </c>
      <c r="Q35" s="160"/>
      <c r="R35" s="161"/>
      <c r="S35" s="162">
        <f t="shared" si="10"/>
        <v>1071326.0999999999</v>
      </c>
      <c r="T35" s="165">
        <f>T$76*'TABLE 4 - October 2016 Dataset'!I35</f>
        <v>8800.0000000000036</v>
      </c>
      <c r="U35" s="165">
        <f>U$76*'TABLE 4 - October 2016 Dataset'!J35</f>
        <v>27424.570024570021</v>
      </c>
      <c r="V35" s="165">
        <f>V$76*'TABLE 4 - October 2016 Dataset'!K35</f>
        <v>0</v>
      </c>
      <c r="W35" s="165">
        <f>W$76*'TABLE 4 - October 2016 Dataset'!L35</f>
        <v>0</v>
      </c>
      <c r="X35" s="165">
        <f>X$76*'TABLE 4 - October 2016 Dataset'!M35</f>
        <v>11339.074550128538</v>
      </c>
      <c r="Y35" s="165">
        <f>Y$76*'TABLE 4 - October 2016 Dataset'!N35</f>
        <v>12993.316195372756</v>
      </c>
      <c r="Z35" s="165">
        <f>Z$76*'TABLE 4 - October 2016 Dataset'!O35</f>
        <v>1203.0848329048847</v>
      </c>
      <c r="AA35" s="165">
        <f>AA$76*'TABLE 4 - October 2016 Dataset'!P35</f>
        <v>8020.5655526992314</v>
      </c>
      <c r="AB35" s="162">
        <f t="shared" si="11"/>
        <v>69780.611155675433</v>
      </c>
      <c r="AC35" s="140">
        <f>AC$76*'TABLE 4 - October 2016 Dataset'!Q35</f>
        <v>62650.586617282905</v>
      </c>
      <c r="AD35" s="140">
        <f>AD$76*'TABLE 4 - October 2016 Dataset'!R35</f>
        <v>16834.248554913294</v>
      </c>
      <c r="AE35" s="140">
        <f>AE$76*'TABLE 4 - October 2016 Dataset'!S35</f>
        <v>0</v>
      </c>
      <c r="AF35" s="140">
        <f t="shared" si="12"/>
        <v>110000</v>
      </c>
      <c r="AG35" s="140">
        <f>IF('TABLE 4 - October 2016 Dataset'!X35="No",0,"*CHECK*")</f>
        <v>0</v>
      </c>
      <c r="AH35" s="140">
        <f>'TABLE 4 - October 2016 Dataset'!Y35</f>
        <v>11342.58</v>
      </c>
      <c r="AI35" s="170">
        <f>IF('TABLE 4 - October 2016 Dataset'!Z35&gt;0,('TABLE 4 - October 2016 Dataset'!Z35*(1+'TABLE 1 - 2018-19 Provisional'!AI$79)*(1+AI$79))-((AI$76*SUM('TABLE 4 - October 2016 Dataset'!F35:H35))+AI$77),0)</f>
        <v>0</v>
      </c>
      <c r="AJ35" s="166" t="str">
        <f>IF('TABLE 4 - October 2016 Dataset'!AA35="Yes",'TABLE 2 - 2019-20 Illustrative'!AJ$76*SUM('TABLE 4 - October 2016 Dataset'!F35:H35),"")</f>
        <v/>
      </c>
      <c r="AK35" s="140">
        <f t="shared" si="13"/>
        <v>0</v>
      </c>
      <c r="AL35" s="94">
        <f t="shared" si="14"/>
        <v>1341934.1263278716</v>
      </c>
      <c r="AM35" s="103"/>
      <c r="AN35" s="80">
        <f t="shared" si="2"/>
        <v>1330591.5463278715</v>
      </c>
      <c r="AO35" s="165">
        <f>AN35/SUM('TABLE 4 - October 2016 Dataset'!F35:H35)</f>
        <v>3411.7731957124911</v>
      </c>
      <c r="AP35" s="165">
        <f t="shared" si="3"/>
        <v>88.226804287508912</v>
      </c>
      <c r="AQ35" s="165">
        <f>AP35*SUM('TABLE 4 - October 2016 Dataset'!F35:H35)</f>
        <v>34408.453672128475</v>
      </c>
      <c r="AR35" s="94">
        <f t="shared" si="15"/>
        <v>1376342.58</v>
      </c>
      <c r="AS35" s="103"/>
      <c r="AT35" s="80">
        <f>N35-(AF35+AG35+'TABLE 4 - October 2016 Dataset'!Y35)</f>
        <v>1163686.6720534801</v>
      </c>
      <c r="AU35" s="187">
        <f t="shared" si="16"/>
        <v>1255000</v>
      </c>
      <c r="AV35" s="165">
        <f t="shared" si="17"/>
        <v>2983.8119796243077</v>
      </c>
      <c r="AW35" s="165">
        <f>AU35/SUM('TABLE 4 - October 2016 Dataset'!F35:H35)</f>
        <v>3217.9487179487178</v>
      </c>
      <c r="AX35" s="173">
        <f t="shared" si="18"/>
        <v>7.8468998691362035E-2</v>
      </c>
      <c r="AY35" s="173">
        <f t="shared" si="19"/>
        <v>0</v>
      </c>
      <c r="AZ35" s="175">
        <f t="shared" si="20"/>
        <v>0</v>
      </c>
      <c r="BA35" s="165">
        <f t="shared" si="21"/>
        <v>0</v>
      </c>
      <c r="BB35" s="94">
        <f t="shared" si="22"/>
        <v>1376342.58</v>
      </c>
      <c r="BC35" s="103"/>
      <c r="BD35" s="184">
        <f>'TABLE 1 - 2018-19 Provisional'!BR35-('TABLE 2 - 2019-20 Illustrative'!AF35+'TABLE 2 - 2019-20 Illustrative'!AG35+'TABLE 1 - 2018-19 Provisional'!AH35)</f>
        <v>1198597.2722150846</v>
      </c>
      <c r="BE35" s="165">
        <f>BD35/SUM('TABLE 4 - October 2016 Dataset'!F35:H35)</f>
        <v>3073.3263390130373</v>
      </c>
      <c r="BF35" s="173">
        <f t="shared" si="23"/>
        <v>3.0000000000000249E-2</v>
      </c>
      <c r="BG35" s="173">
        <f t="shared" si="24"/>
        <v>4.7057280282875702E-2</v>
      </c>
      <c r="BH35" s="173">
        <f>'TABLE 1 - 2018-19 Provisional'!BF35</f>
        <v>7.8468998691362035E-2</v>
      </c>
      <c r="BI35" s="185">
        <f t="shared" si="4"/>
        <v>9.4114560565751407E-3</v>
      </c>
      <c r="BJ35" s="185">
        <f t="shared" si="5"/>
        <v>0.03</v>
      </c>
      <c r="BK35" s="173">
        <f t="shared" si="6"/>
        <v>-1.7057280282875703E-2</v>
      </c>
      <c r="BL35" s="175">
        <f t="shared" si="7"/>
        <v>-52.422588765289653</v>
      </c>
      <c r="BM35" s="165">
        <f>BL35*SUM('TABLE 4 - October 2016 Dataset'!F35:H35)</f>
        <v>-20444.809618462965</v>
      </c>
      <c r="BN35" s="94">
        <f t="shared" si="8"/>
        <v>1355897.770381537</v>
      </c>
      <c r="BO35" s="103"/>
      <c r="BP35" s="179">
        <f t="shared" si="9"/>
        <v>1344555.190381537</v>
      </c>
      <c r="BQ35" s="175">
        <f>BP35/SUM('TABLE 4 - October 2016 Dataset'!F35:H35)</f>
        <v>3447.5774112347103</v>
      </c>
      <c r="BR35" s="175">
        <f t="shared" si="25"/>
        <v>52.422588765289674</v>
      </c>
      <c r="BS35" s="175">
        <f>BR35*SUM('TABLE 4 - October 2016 Dataset'!F35:H35)</f>
        <v>20444.809618462972</v>
      </c>
      <c r="BT35" s="94">
        <f t="shared" si="26"/>
        <v>1376342.58</v>
      </c>
      <c r="BU35" s="103"/>
      <c r="BV35" s="80">
        <f t="shared" si="27"/>
        <v>1285029.2520534801</v>
      </c>
      <c r="BW35" s="122">
        <f t="shared" si="28"/>
        <v>3294.9468001371283</v>
      </c>
      <c r="BX35" s="264">
        <f t="shared" si="29"/>
        <v>1376342.58</v>
      </c>
      <c r="BY35" s="81">
        <f>BX35/SUM('TABLE 4 - October 2016 Dataset'!F35:H35)</f>
        <v>3529.0835384615389</v>
      </c>
      <c r="BZ35" s="264">
        <f t="shared" si="30"/>
        <v>91313.327946519945</v>
      </c>
      <c r="CA35" s="81">
        <f t="shared" si="31"/>
        <v>234.13673832441054</v>
      </c>
      <c r="CB35" s="269">
        <f t="shared" si="32"/>
        <v>7.1059337988299623E-2</v>
      </c>
      <c r="CC35" s="103"/>
      <c r="CD35" s="80">
        <f>'TABLE 5 - DfE Published Figures'!O34</f>
        <v>1376000</v>
      </c>
      <c r="CE35" s="84">
        <f t="shared" si="33"/>
        <v>0</v>
      </c>
      <c r="CF35" s="81"/>
      <c r="CG35" s="81"/>
      <c r="CH35" s="81"/>
      <c r="CI35" s="81"/>
      <c r="CJ35" s="2"/>
    </row>
    <row r="36" spans="2:88" ht="15.75">
      <c r="B36" s="198">
        <v>2012</v>
      </c>
      <c r="C36" s="60" t="s">
        <v>43</v>
      </c>
      <c r="D36" s="204" t="s">
        <v>72</v>
      </c>
      <c r="F36" s="80">
        <v>268</v>
      </c>
      <c r="G36" s="163"/>
      <c r="H36" s="164">
        <v>0</v>
      </c>
      <c r="I36" s="94">
        <f t="shared" si="0"/>
        <v>268</v>
      </c>
      <c r="J36" s="103"/>
      <c r="K36" s="80">
        <v>957576.96640124545</v>
      </c>
      <c r="L36" s="163"/>
      <c r="M36" s="163"/>
      <c r="N36" s="94">
        <f t="shared" si="1"/>
        <v>957576.96640124545</v>
      </c>
      <c r="O36" s="103"/>
      <c r="P36" s="80">
        <f>P$76*'TABLE 4 - October 2016 Dataset'!F36</f>
        <v>736193.32</v>
      </c>
      <c r="Q36" s="160"/>
      <c r="R36" s="161"/>
      <c r="S36" s="162">
        <f t="shared" si="10"/>
        <v>736193.32</v>
      </c>
      <c r="T36" s="165">
        <f>T$76*'TABLE 4 - October 2016 Dataset'!I36</f>
        <v>10559.999999999995</v>
      </c>
      <c r="U36" s="165">
        <f>U$76*'TABLE 4 - October 2016 Dataset'!J36</f>
        <v>25026.766917293233</v>
      </c>
      <c r="V36" s="165">
        <f>V$76*'TABLE 4 - October 2016 Dataset'!K36</f>
        <v>0</v>
      </c>
      <c r="W36" s="165">
        <f>W$76*'TABLE 4 - October 2016 Dataset'!L36</f>
        <v>0</v>
      </c>
      <c r="X36" s="165">
        <f>X$76*'TABLE 4 - October 2016 Dataset'!M36</f>
        <v>0</v>
      </c>
      <c r="Y36" s="165">
        <f>Y$76*'TABLE 4 - October 2016 Dataset'!N36</f>
        <v>5781.5730337078649</v>
      </c>
      <c r="Z36" s="165">
        <f>Z$76*'TABLE 4 - October 2016 Dataset'!O36</f>
        <v>0</v>
      </c>
      <c r="AA36" s="165">
        <f>AA$76*'TABLE 4 - October 2016 Dataset'!P36</f>
        <v>10639.700374531832</v>
      </c>
      <c r="AB36" s="162">
        <f t="shared" si="11"/>
        <v>52008.040325532929</v>
      </c>
      <c r="AC36" s="140">
        <f>AC$76*'TABLE 4 - October 2016 Dataset'!Q36</f>
        <v>90250.597152656715</v>
      </c>
      <c r="AD36" s="140">
        <f>AD$76*'TABLE 4 - October 2016 Dataset'!R36</f>
        <v>7869.5614035087683</v>
      </c>
      <c r="AE36" s="140">
        <f>AE$76*'TABLE 4 - October 2016 Dataset'!S36</f>
        <v>0</v>
      </c>
      <c r="AF36" s="140">
        <f t="shared" si="12"/>
        <v>110000</v>
      </c>
      <c r="AG36" s="140">
        <f>IF('TABLE 4 - October 2016 Dataset'!X36="No",0,"*CHECK*")</f>
        <v>0</v>
      </c>
      <c r="AH36" s="140">
        <f>'TABLE 4 - October 2016 Dataset'!Y36</f>
        <v>22460.89</v>
      </c>
      <c r="AI36" s="170">
        <f>IF('TABLE 4 - October 2016 Dataset'!Z36&gt;0,('TABLE 4 - October 2016 Dataset'!Z36*(1+'TABLE 1 - 2018-19 Provisional'!AI$79)*(1+AI$79))-((AI$76*SUM('TABLE 4 - October 2016 Dataset'!F36:H36))+AI$77),0)</f>
        <v>0</v>
      </c>
      <c r="AJ36" s="166" t="str">
        <f>IF('TABLE 4 - October 2016 Dataset'!AA36="Yes",'TABLE 2 - 2019-20 Illustrative'!AJ$76*SUM('TABLE 4 - October 2016 Dataset'!F36:H36),"")</f>
        <v/>
      </c>
      <c r="AK36" s="140">
        <f t="shared" si="13"/>
        <v>0</v>
      </c>
      <c r="AL36" s="94">
        <f t="shared" si="14"/>
        <v>1018782.4088816984</v>
      </c>
      <c r="AM36" s="103"/>
      <c r="AN36" s="80">
        <f t="shared" si="2"/>
        <v>996321.51888169837</v>
      </c>
      <c r="AO36" s="165">
        <f>AN36/SUM('TABLE 4 - October 2016 Dataset'!F36:H36)</f>
        <v>3717.6176077675314</v>
      </c>
      <c r="AP36" s="165">
        <f t="shared" si="3"/>
        <v>0</v>
      </c>
      <c r="AQ36" s="165">
        <f>AP36*SUM('TABLE 4 - October 2016 Dataset'!F36:H36)</f>
        <v>0</v>
      </c>
      <c r="AR36" s="94">
        <f t="shared" si="15"/>
        <v>1018782.4088816984</v>
      </c>
      <c r="AS36" s="103"/>
      <c r="AT36" s="80">
        <f>N36-(AF36+AG36+'TABLE 4 - October 2016 Dataset'!Y36)</f>
        <v>825116.07640124543</v>
      </c>
      <c r="AU36" s="187">
        <f t="shared" si="16"/>
        <v>886321.51888169837</v>
      </c>
      <c r="AV36" s="165">
        <f t="shared" si="17"/>
        <v>3078.7913298553935</v>
      </c>
      <c r="AW36" s="165">
        <f>AU36/SUM('TABLE 4 - October 2016 Dataset'!F36:H36)</f>
        <v>3307.1698465735012</v>
      </c>
      <c r="AX36" s="173">
        <f t="shared" si="18"/>
        <v>7.417797838505491E-2</v>
      </c>
      <c r="AY36" s="173">
        <f t="shared" si="19"/>
        <v>0</v>
      </c>
      <c r="AZ36" s="175">
        <f t="shared" si="20"/>
        <v>0</v>
      </c>
      <c r="BA36" s="165">
        <f t="shared" si="21"/>
        <v>0</v>
      </c>
      <c r="BB36" s="94">
        <f t="shared" si="22"/>
        <v>1018782.4088816984</v>
      </c>
      <c r="BC36" s="103"/>
      <c r="BD36" s="184">
        <f>'TABLE 1 - 2018-19 Provisional'!BR36-('TABLE 2 - 2019-20 Illustrative'!AF36+'TABLE 2 - 2019-20 Illustrative'!AG36+'TABLE 1 - 2018-19 Provisional'!AH36)</f>
        <v>849869.55869328289</v>
      </c>
      <c r="BE36" s="165">
        <f>BD36/SUM('TABLE 4 - October 2016 Dataset'!F36:H36)</f>
        <v>3171.1550697510556</v>
      </c>
      <c r="BF36" s="173">
        <f t="shared" si="23"/>
        <v>3.0000000000000027E-2</v>
      </c>
      <c r="BG36" s="173">
        <f t="shared" si="24"/>
        <v>4.2891241150538661E-2</v>
      </c>
      <c r="BH36" s="173">
        <f>'TABLE 1 - 2018-19 Provisional'!BF36</f>
        <v>7.417797838505491E-2</v>
      </c>
      <c r="BI36" s="185">
        <f t="shared" si="4"/>
        <v>8.5782482301077333E-3</v>
      </c>
      <c r="BJ36" s="185">
        <f t="shared" si="5"/>
        <v>0.03</v>
      </c>
      <c r="BK36" s="173">
        <f t="shared" si="6"/>
        <v>-1.2891241150538663E-2</v>
      </c>
      <c r="BL36" s="175">
        <f t="shared" si="7"/>
        <v>-40.880124729914108</v>
      </c>
      <c r="BM36" s="165">
        <f>BL36*SUM('TABLE 4 - October 2016 Dataset'!F36:H36)</f>
        <v>-10955.873427616982</v>
      </c>
      <c r="BN36" s="94">
        <f t="shared" si="8"/>
        <v>1007826.5354540814</v>
      </c>
      <c r="BO36" s="103"/>
      <c r="BP36" s="179">
        <f t="shared" si="9"/>
        <v>985365.64545408136</v>
      </c>
      <c r="BQ36" s="175">
        <f>BP36/SUM('TABLE 4 - October 2016 Dataset'!F36:H36)</f>
        <v>3676.737483037617</v>
      </c>
      <c r="BR36" s="175">
        <f t="shared" si="25"/>
        <v>0</v>
      </c>
      <c r="BS36" s="175">
        <f>BR36*SUM('TABLE 4 - October 2016 Dataset'!F36:H36)</f>
        <v>0</v>
      </c>
      <c r="BT36" s="94">
        <f t="shared" si="26"/>
        <v>1007826.5354540814</v>
      </c>
      <c r="BU36" s="103"/>
      <c r="BV36" s="80">
        <f t="shared" si="27"/>
        <v>957576.96640124545</v>
      </c>
      <c r="BW36" s="122">
        <f t="shared" si="28"/>
        <v>3573.0483820941995</v>
      </c>
      <c r="BX36" s="264">
        <f t="shared" si="29"/>
        <v>1007826.5354540814</v>
      </c>
      <c r="BY36" s="81">
        <f>BX36/SUM('TABLE 4 - October 2016 Dataset'!F36:H36)</f>
        <v>3760.5467740823933</v>
      </c>
      <c r="BZ36" s="264">
        <f t="shared" si="30"/>
        <v>50249.569052835926</v>
      </c>
      <c r="CA36" s="81">
        <f t="shared" si="31"/>
        <v>187.49839198819382</v>
      </c>
      <c r="CB36" s="269">
        <f t="shared" si="32"/>
        <v>5.247574953863321E-2</v>
      </c>
      <c r="CC36" s="103"/>
      <c r="CD36" s="80">
        <f>'TABLE 5 - DfE Published Figures'!O35</f>
        <v>1008000</v>
      </c>
      <c r="CE36" s="84">
        <f t="shared" si="33"/>
        <v>0</v>
      </c>
      <c r="CF36" s="81"/>
      <c r="CG36" s="81"/>
      <c r="CH36" s="81"/>
      <c r="CI36" s="81"/>
      <c r="CJ36" s="2"/>
    </row>
    <row r="37" spans="2:88" ht="15.75">
      <c r="B37" s="198">
        <v>2029</v>
      </c>
      <c r="C37" s="60" t="s">
        <v>44</v>
      </c>
      <c r="D37" s="204" t="s">
        <v>71</v>
      </c>
      <c r="F37" s="80">
        <v>436</v>
      </c>
      <c r="G37" s="163"/>
      <c r="H37" s="164">
        <v>0</v>
      </c>
      <c r="I37" s="94">
        <f t="shared" si="0"/>
        <v>436</v>
      </c>
      <c r="J37" s="103"/>
      <c r="K37" s="80">
        <v>1272501.9995508788</v>
      </c>
      <c r="L37" s="163"/>
      <c r="M37" s="163"/>
      <c r="N37" s="94">
        <f t="shared" si="1"/>
        <v>1272501.9995508788</v>
      </c>
      <c r="O37" s="103"/>
      <c r="P37" s="80">
        <f>P$76*'TABLE 4 - October 2016 Dataset'!F37</f>
        <v>1197687.6399999999</v>
      </c>
      <c r="Q37" s="160"/>
      <c r="R37" s="161"/>
      <c r="S37" s="162">
        <f t="shared" si="10"/>
        <v>1197687.6399999999</v>
      </c>
      <c r="T37" s="165">
        <f>T$76*'TABLE 4 - October 2016 Dataset'!I37</f>
        <v>4839.9999999999927</v>
      </c>
      <c r="U37" s="165">
        <f>U$76*'TABLE 4 - October 2016 Dataset'!J37</f>
        <v>9075.9183673469397</v>
      </c>
      <c r="V37" s="165">
        <f>V$76*'TABLE 4 - October 2016 Dataset'!K37</f>
        <v>0</v>
      </c>
      <c r="W37" s="165">
        <f>W$76*'TABLE 4 - October 2016 Dataset'!L37</f>
        <v>0</v>
      </c>
      <c r="X37" s="165">
        <f>X$76*'TABLE 4 - October 2016 Dataset'!M37</f>
        <v>1958.9861751152005</v>
      </c>
      <c r="Y37" s="165">
        <f>Y$76*'TABLE 4 - October 2016 Dataset'!N37</f>
        <v>0</v>
      </c>
      <c r="Z37" s="165">
        <f>Z$76*'TABLE 4 - October 2016 Dataset'!O37</f>
        <v>0</v>
      </c>
      <c r="AA37" s="165">
        <f>AA$76*'TABLE 4 - October 2016 Dataset'!P37</f>
        <v>401.84331797235063</v>
      </c>
      <c r="AB37" s="162">
        <f t="shared" si="11"/>
        <v>16276.747860434483</v>
      </c>
      <c r="AC37" s="140">
        <f>AC$76*'TABLE 4 - October 2016 Dataset'!Q37</f>
        <v>76768.692518874523</v>
      </c>
      <c r="AD37" s="140">
        <f>AD$76*'TABLE 4 - October 2016 Dataset'!R37</f>
        <v>597.18085106383057</v>
      </c>
      <c r="AE37" s="140">
        <f>AE$76*'TABLE 4 - October 2016 Dataset'!S37</f>
        <v>0</v>
      </c>
      <c r="AF37" s="140">
        <f t="shared" si="12"/>
        <v>110000</v>
      </c>
      <c r="AG37" s="140">
        <f>IF('TABLE 4 - October 2016 Dataset'!X37="No",0,"*CHECK*")</f>
        <v>0</v>
      </c>
      <c r="AH37" s="140">
        <f>'TABLE 4 - October 2016 Dataset'!Y37</f>
        <v>3980.41</v>
      </c>
      <c r="AI37" s="170">
        <f>IF('TABLE 4 - October 2016 Dataset'!Z37&gt;0,('TABLE 4 - October 2016 Dataset'!Z37*(1+'TABLE 1 - 2018-19 Provisional'!AI$79)*(1+AI$79))-((AI$76*SUM('TABLE 4 - October 2016 Dataset'!F37:H37))+AI$77),0)</f>
        <v>0</v>
      </c>
      <c r="AJ37" s="166" t="str">
        <f>IF('TABLE 4 - October 2016 Dataset'!AA37="Yes",'TABLE 2 - 2019-20 Illustrative'!AJ$76*SUM('TABLE 4 - October 2016 Dataset'!F37:H37),"")</f>
        <v/>
      </c>
      <c r="AK37" s="140">
        <f t="shared" si="13"/>
        <v>0</v>
      </c>
      <c r="AL37" s="94">
        <f t="shared" si="14"/>
        <v>1405310.6712303727</v>
      </c>
      <c r="AM37" s="103"/>
      <c r="AN37" s="80">
        <f t="shared" si="2"/>
        <v>1401330.2612303728</v>
      </c>
      <c r="AO37" s="165">
        <f>AN37/SUM('TABLE 4 - October 2016 Dataset'!F37:H37)</f>
        <v>3214.0602321797542</v>
      </c>
      <c r="AP37" s="165">
        <f t="shared" si="3"/>
        <v>285.93976782024583</v>
      </c>
      <c r="AQ37" s="165">
        <f>AP37*SUM('TABLE 4 - October 2016 Dataset'!F37:H37)</f>
        <v>124669.73876962718</v>
      </c>
      <c r="AR37" s="94">
        <f t="shared" si="15"/>
        <v>1529980.41</v>
      </c>
      <c r="AS37" s="103"/>
      <c r="AT37" s="80">
        <f>N37-(AF37+AG37+'TABLE 4 - October 2016 Dataset'!Y37)</f>
        <v>1158521.5895508789</v>
      </c>
      <c r="AU37" s="187">
        <f t="shared" si="16"/>
        <v>1416000</v>
      </c>
      <c r="AV37" s="165">
        <f t="shared" si="17"/>
        <v>2657.1596090616486</v>
      </c>
      <c r="AW37" s="165">
        <f>AU37/SUM('TABLE 4 - October 2016 Dataset'!F37:H37)</f>
        <v>3247.7064220183488</v>
      </c>
      <c r="AX37" s="173">
        <f t="shared" si="18"/>
        <v>0.22224739941958038</v>
      </c>
      <c r="AY37" s="173">
        <f t="shared" si="19"/>
        <v>0</v>
      </c>
      <c r="AZ37" s="175">
        <f t="shared" si="20"/>
        <v>0</v>
      </c>
      <c r="BA37" s="165">
        <f t="shared" si="21"/>
        <v>0</v>
      </c>
      <c r="BB37" s="94">
        <f t="shared" si="22"/>
        <v>1529980.41</v>
      </c>
      <c r="BC37" s="103"/>
      <c r="BD37" s="184">
        <f>'TABLE 1 - 2018-19 Provisional'!BR37-('TABLE 2 - 2019-20 Illustrative'!AF37+'TABLE 2 - 2019-20 Illustrative'!AG37+'TABLE 1 - 2018-19 Provisional'!AH37)</f>
        <v>1328800</v>
      </c>
      <c r="BE37" s="165">
        <f>BD37/SUM('TABLE 4 - October 2016 Dataset'!F37:H37)</f>
        <v>3047.7064220183488</v>
      </c>
      <c r="BF37" s="173">
        <f t="shared" si="23"/>
        <v>0.14697905674345924</v>
      </c>
      <c r="BG37" s="173">
        <f t="shared" si="24"/>
        <v>6.5623118603250985E-2</v>
      </c>
      <c r="BH37" s="173">
        <f>'TABLE 1 - 2018-19 Provisional'!BF37</f>
        <v>0.22224739941958038</v>
      </c>
      <c r="BI37" s="185">
        <f t="shared" si="4"/>
        <v>1.3124623720650198E-2</v>
      </c>
      <c r="BJ37" s="185">
        <f t="shared" si="5"/>
        <v>0.03</v>
      </c>
      <c r="BK37" s="173">
        <f t="shared" si="6"/>
        <v>-3.5623118603250986E-2</v>
      </c>
      <c r="BL37" s="175">
        <f t="shared" si="7"/>
        <v>-108.56880733944934</v>
      </c>
      <c r="BM37" s="165">
        <f>BL37*SUM('TABLE 4 - October 2016 Dataset'!F37:H37)</f>
        <v>-47335.999999999913</v>
      </c>
      <c r="BN37" s="94">
        <f t="shared" si="8"/>
        <v>1482644.41</v>
      </c>
      <c r="BO37" s="103"/>
      <c r="BP37" s="179">
        <f t="shared" si="9"/>
        <v>1478664</v>
      </c>
      <c r="BQ37" s="175">
        <f>BP37/SUM('TABLE 4 - October 2016 Dataset'!F37:H37)</f>
        <v>3391.4311926605506</v>
      </c>
      <c r="BR37" s="175">
        <f t="shared" si="25"/>
        <v>108.56880733944945</v>
      </c>
      <c r="BS37" s="175">
        <f>BR37*SUM('TABLE 4 - October 2016 Dataset'!F37:H37)</f>
        <v>47335.999999999956</v>
      </c>
      <c r="BT37" s="94">
        <f t="shared" si="26"/>
        <v>1529980.41</v>
      </c>
      <c r="BU37" s="103"/>
      <c r="BV37" s="80">
        <f t="shared" si="27"/>
        <v>1272501.9995508788</v>
      </c>
      <c r="BW37" s="122">
        <f t="shared" si="28"/>
        <v>2918.582567777245</v>
      </c>
      <c r="BX37" s="264">
        <f t="shared" si="29"/>
        <v>1529980.41</v>
      </c>
      <c r="BY37" s="81">
        <f>BX37/SUM('TABLE 4 - October 2016 Dataset'!F37:H37)</f>
        <v>3509.1293807339448</v>
      </c>
      <c r="BZ37" s="264">
        <f t="shared" si="30"/>
        <v>257478.41044912115</v>
      </c>
      <c r="CA37" s="81">
        <f t="shared" si="31"/>
        <v>590.5468129566998</v>
      </c>
      <c r="CB37" s="269">
        <f t="shared" si="32"/>
        <v>0.20234027965378162</v>
      </c>
      <c r="CC37" s="103"/>
      <c r="CD37" s="80">
        <f>'TABLE 5 - DfE Published Figures'!O36</f>
        <v>1526000</v>
      </c>
      <c r="CE37" s="84">
        <f t="shared" si="33"/>
        <v>4000</v>
      </c>
      <c r="CF37" s="81"/>
      <c r="CG37" s="81"/>
      <c r="CH37" s="81"/>
      <c r="CI37" s="81"/>
      <c r="CJ37" s="2"/>
    </row>
    <row r="38" spans="2:88" ht="15.75">
      <c r="B38" s="198">
        <v>2014</v>
      </c>
      <c r="C38" s="60" t="s">
        <v>45</v>
      </c>
      <c r="D38" s="204"/>
      <c r="F38" s="80">
        <v>390</v>
      </c>
      <c r="G38" s="163"/>
      <c r="H38" s="164">
        <v>0</v>
      </c>
      <c r="I38" s="94">
        <f t="shared" si="0"/>
        <v>390</v>
      </c>
      <c r="J38" s="103"/>
      <c r="K38" s="80">
        <v>1335983.4944029816</v>
      </c>
      <c r="L38" s="163"/>
      <c r="M38" s="163"/>
      <c r="N38" s="94">
        <f t="shared" si="1"/>
        <v>1335983.4944029816</v>
      </c>
      <c r="O38" s="103"/>
      <c r="P38" s="80">
        <f>P$76*'TABLE 4 - October 2016 Dataset'!F38</f>
        <v>1071326.0999999999</v>
      </c>
      <c r="Q38" s="160"/>
      <c r="R38" s="161"/>
      <c r="S38" s="162">
        <f t="shared" si="10"/>
        <v>1071326.0999999999</v>
      </c>
      <c r="T38" s="165">
        <f>T$76*'TABLE 4 - October 2016 Dataset'!I38</f>
        <v>22440.00000000004</v>
      </c>
      <c r="U38" s="165">
        <f>U$76*'TABLE 4 - October 2016 Dataset'!J38</f>
        <v>43422.680412371134</v>
      </c>
      <c r="V38" s="165">
        <f>V$76*'TABLE 4 - October 2016 Dataset'!K38</f>
        <v>0</v>
      </c>
      <c r="W38" s="165">
        <f>W$76*'TABLE 4 - October 2016 Dataset'!L38</f>
        <v>0</v>
      </c>
      <c r="X38" s="165">
        <f>X$76*'TABLE 4 - October 2016 Dataset'!M38</f>
        <v>26725.581395348763</v>
      </c>
      <c r="Y38" s="165">
        <f>Y$76*'TABLE 4 - October 2016 Dataset'!N38</f>
        <v>1451.1627906976744</v>
      </c>
      <c r="Z38" s="165">
        <f>Z$76*'TABLE 4 - October 2016 Dataset'!O38</f>
        <v>0</v>
      </c>
      <c r="AA38" s="165">
        <f>AA$76*'TABLE 4 - October 2016 Dataset'!P38</f>
        <v>3023.2558139534867</v>
      </c>
      <c r="AB38" s="162">
        <f t="shared" si="11"/>
        <v>97062.680412371104</v>
      </c>
      <c r="AC38" s="140">
        <f>AC$76*'TABLE 4 - October 2016 Dataset'!Q38</f>
        <v>142073.2738063696</v>
      </c>
      <c r="AD38" s="140">
        <f>AD$76*'TABLE 4 - October 2016 Dataset'!R38</f>
        <v>7216.1676646706483</v>
      </c>
      <c r="AE38" s="140">
        <f>AE$76*'TABLE 4 - October 2016 Dataset'!S38</f>
        <v>0</v>
      </c>
      <c r="AF38" s="140">
        <f t="shared" si="12"/>
        <v>110000</v>
      </c>
      <c r="AG38" s="140">
        <f>IF('TABLE 4 - October 2016 Dataset'!X38="No",0,"*CHECK*")</f>
        <v>0</v>
      </c>
      <c r="AH38" s="140">
        <f>'TABLE 4 - October 2016 Dataset'!Y38</f>
        <v>21323.63</v>
      </c>
      <c r="AI38" s="170">
        <f>IF('TABLE 4 - October 2016 Dataset'!Z38&gt;0,('TABLE 4 - October 2016 Dataset'!Z38*(1+'TABLE 1 - 2018-19 Provisional'!AI$79)*(1+AI$79))-((AI$76*SUM('TABLE 4 - October 2016 Dataset'!F38:H38))+AI$77),0)</f>
        <v>0</v>
      </c>
      <c r="AJ38" s="166" t="str">
        <f>IF('TABLE 4 - October 2016 Dataset'!AA38="Yes",'TABLE 2 - 2019-20 Illustrative'!AJ$76*SUM('TABLE 4 - October 2016 Dataset'!F38:H38),"")</f>
        <v/>
      </c>
      <c r="AK38" s="140">
        <f t="shared" si="13"/>
        <v>0</v>
      </c>
      <c r="AL38" s="94">
        <f t="shared" si="14"/>
        <v>1449001.8518834112</v>
      </c>
      <c r="AM38" s="103"/>
      <c r="AN38" s="80">
        <f t="shared" si="2"/>
        <v>1427678.2218834113</v>
      </c>
      <c r="AO38" s="165">
        <f>AN38/SUM('TABLE 4 - October 2016 Dataset'!F38:H38)</f>
        <v>3660.7133894446442</v>
      </c>
      <c r="AP38" s="165">
        <f t="shared" si="3"/>
        <v>0</v>
      </c>
      <c r="AQ38" s="165">
        <f>AP38*SUM('TABLE 4 - October 2016 Dataset'!F38:H38)</f>
        <v>0</v>
      </c>
      <c r="AR38" s="94">
        <f t="shared" si="15"/>
        <v>1449001.8518834112</v>
      </c>
      <c r="AS38" s="103"/>
      <c r="AT38" s="80">
        <f>N38-(AF38+AG38+'TABLE 4 - October 2016 Dataset'!Y38)</f>
        <v>1204659.8644029815</v>
      </c>
      <c r="AU38" s="187">
        <f t="shared" si="16"/>
        <v>1317678.2218834111</v>
      </c>
      <c r="AV38" s="165">
        <f t="shared" si="17"/>
        <v>3088.8714471871322</v>
      </c>
      <c r="AW38" s="165">
        <f>AU38/SUM('TABLE 4 - October 2016 Dataset'!F38:H38)</f>
        <v>3378.6621073933616</v>
      </c>
      <c r="AX38" s="173">
        <f t="shared" si="18"/>
        <v>9.3817649960838079E-2</v>
      </c>
      <c r="AY38" s="173">
        <f t="shared" si="19"/>
        <v>0</v>
      </c>
      <c r="AZ38" s="175">
        <f t="shared" si="20"/>
        <v>0</v>
      </c>
      <c r="BA38" s="165">
        <f t="shared" si="21"/>
        <v>0</v>
      </c>
      <c r="BB38" s="94">
        <f t="shared" si="22"/>
        <v>1449001.8518834112</v>
      </c>
      <c r="BC38" s="103"/>
      <c r="BD38" s="184">
        <f>'TABLE 1 - 2018-19 Provisional'!BR38-('TABLE 2 - 2019-20 Illustrative'!AF38+'TABLE 2 - 2019-20 Illustrative'!AG38+'TABLE 1 - 2018-19 Provisional'!AH38)</f>
        <v>1240799.6603350709</v>
      </c>
      <c r="BE38" s="165">
        <f>BD38/SUM('TABLE 4 - October 2016 Dataset'!F38:H38)</f>
        <v>3181.5375906027461</v>
      </c>
      <c r="BF38" s="173">
        <f t="shared" si="23"/>
        <v>3.0000000000000027E-2</v>
      </c>
      <c r="BG38" s="173">
        <f t="shared" si="24"/>
        <v>6.1958883457124303E-2</v>
      </c>
      <c r="BH38" s="173">
        <f>'TABLE 1 - 2018-19 Provisional'!BF38</f>
        <v>9.3817649960838079E-2</v>
      </c>
      <c r="BI38" s="185">
        <f t="shared" si="4"/>
        <v>1.2391776691424862E-2</v>
      </c>
      <c r="BJ38" s="185">
        <f t="shared" si="5"/>
        <v>0.03</v>
      </c>
      <c r="BK38" s="173">
        <f t="shared" si="6"/>
        <v>-3.1958883457124304E-2</v>
      </c>
      <c r="BL38" s="175">
        <f t="shared" si="7"/>
        <v>-101.67838907253322</v>
      </c>
      <c r="BM38" s="165">
        <f>BL38*SUM('TABLE 4 - October 2016 Dataset'!F38:H38)</f>
        <v>-39654.571738287959</v>
      </c>
      <c r="BN38" s="94">
        <f t="shared" si="8"/>
        <v>1409347.2801451231</v>
      </c>
      <c r="BO38" s="103"/>
      <c r="BP38" s="179">
        <f t="shared" si="9"/>
        <v>1388023.6501451232</v>
      </c>
      <c r="BQ38" s="175">
        <f>BP38/SUM('TABLE 4 - October 2016 Dataset'!F38:H38)</f>
        <v>3559.035000372111</v>
      </c>
      <c r="BR38" s="175">
        <f t="shared" si="25"/>
        <v>0</v>
      </c>
      <c r="BS38" s="175">
        <f>BR38*SUM('TABLE 4 - October 2016 Dataset'!F38:H38)</f>
        <v>0</v>
      </c>
      <c r="BT38" s="94">
        <f t="shared" si="26"/>
        <v>1409347.2801451231</v>
      </c>
      <c r="BU38" s="103"/>
      <c r="BV38" s="80">
        <f t="shared" si="27"/>
        <v>1335983.4944029816</v>
      </c>
      <c r="BW38" s="122">
        <f t="shared" si="28"/>
        <v>3425.5987035973885</v>
      </c>
      <c r="BX38" s="264">
        <f t="shared" si="29"/>
        <v>1409347.2801451231</v>
      </c>
      <c r="BY38" s="81">
        <f>BX38/SUM('TABLE 4 - October 2016 Dataset'!F38:H38)</f>
        <v>3613.7109747310851</v>
      </c>
      <c r="BZ38" s="264">
        <f t="shared" si="30"/>
        <v>73363.785742141539</v>
      </c>
      <c r="CA38" s="81">
        <f t="shared" si="31"/>
        <v>188.11227113369659</v>
      </c>
      <c r="CB38" s="269">
        <f t="shared" si="32"/>
        <v>5.4913691710634614E-2</v>
      </c>
      <c r="CC38" s="103"/>
      <c r="CD38" s="80">
        <f>'TABLE 5 - DfE Published Figures'!O37</f>
        <v>1393000</v>
      </c>
      <c r="CE38" s="84">
        <f t="shared" si="33"/>
        <v>16000</v>
      </c>
      <c r="CF38" s="81"/>
      <c r="CG38" s="81"/>
      <c r="CH38" s="81"/>
      <c r="CI38" s="81"/>
      <c r="CJ38" s="2"/>
    </row>
    <row r="39" spans="2:88" ht="15.75">
      <c r="B39" s="198">
        <v>2058</v>
      </c>
      <c r="C39" s="60" t="s">
        <v>46</v>
      </c>
      <c r="D39" s="204"/>
      <c r="F39" s="80">
        <v>325</v>
      </c>
      <c r="G39" s="163"/>
      <c r="H39" s="164">
        <v>-2</v>
      </c>
      <c r="I39" s="94">
        <f t="shared" si="0"/>
        <v>323</v>
      </c>
      <c r="J39" s="103"/>
      <c r="K39" s="80">
        <v>1008878.2405584425</v>
      </c>
      <c r="L39" s="163"/>
      <c r="M39" s="163"/>
      <c r="N39" s="94">
        <f t="shared" si="1"/>
        <v>1008878.2405584425</v>
      </c>
      <c r="O39" s="103"/>
      <c r="P39" s="80">
        <f>P$76*'TABLE 4 - October 2016 Dataset'!F39</f>
        <v>887277.7699999999</v>
      </c>
      <c r="Q39" s="160"/>
      <c r="R39" s="161"/>
      <c r="S39" s="162">
        <f t="shared" si="10"/>
        <v>887277.7699999999</v>
      </c>
      <c r="T39" s="165">
        <f>T$76*'TABLE 4 - October 2016 Dataset'!I39</f>
        <v>2199.9999999999986</v>
      </c>
      <c r="U39" s="165">
        <f>U$76*'TABLE 4 - October 2016 Dataset'!J39</f>
        <v>7583.478260869565</v>
      </c>
      <c r="V39" s="165">
        <f>V$76*'TABLE 4 - October 2016 Dataset'!K39</f>
        <v>0</v>
      </c>
      <c r="W39" s="165">
        <f>W$76*'TABLE 4 - October 2016 Dataset'!L39</f>
        <v>0</v>
      </c>
      <c r="X39" s="165">
        <f>X$76*'TABLE 4 - October 2016 Dataset'!M39</f>
        <v>392.42990654205624</v>
      </c>
      <c r="Y39" s="165">
        <f>Y$76*'TABLE 4 - October 2016 Dataset'!N39</f>
        <v>0</v>
      </c>
      <c r="Z39" s="165">
        <f>Z$76*'TABLE 4 - October 2016 Dataset'!O39</f>
        <v>482.99065420560771</v>
      </c>
      <c r="AA39" s="165">
        <f>AA$76*'TABLE 4 - October 2016 Dataset'!P39</f>
        <v>1006.2305295950129</v>
      </c>
      <c r="AB39" s="162">
        <f t="shared" si="11"/>
        <v>11665.129351212241</v>
      </c>
      <c r="AC39" s="140">
        <f>AC$76*'TABLE 4 - October 2016 Dataset'!Q39</f>
        <v>84304.466352145202</v>
      </c>
      <c r="AD39" s="140">
        <f>AD$76*'TABLE 4 - October 2016 Dataset'!R39</f>
        <v>4249.6897810219061</v>
      </c>
      <c r="AE39" s="140">
        <f>AE$76*'TABLE 4 - October 2016 Dataset'!S39</f>
        <v>0</v>
      </c>
      <c r="AF39" s="140">
        <f t="shared" si="12"/>
        <v>110000</v>
      </c>
      <c r="AG39" s="140">
        <f>IF('TABLE 4 - October 2016 Dataset'!X39="No",0,"*CHECK*")</f>
        <v>0</v>
      </c>
      <c r="AH39" s="140">
        <f>'TABLE 4 - October 2016 Dataset'!Y39</f>
        <v>18906.95</v>
      </c>
      <c r="AI39" s="170">
        <f>IF('TABLE 4 - October 2016 Dataset'!Z39&gt;0,('TABLE 4 - October 2016 Dataset'!Z39*(1+'TABLE 1 - 2018-19 Provisional'!AI$79)*(1+AI$79))-((AI$76*SUM('TABLE 4 - October 2016 Dataset'!F39:H39))+AI$77),0)</f>
        <v>0</v>
      </c>
      <c r="AJ39" s="166" t="str">
        <f>IF('TABLE 4 - October 2016 Dataset'!AA39="Yes",'TABLE 2 - 2019-20 Illustrative'!AJ$76*SUM('TABLE 4 - October 2016 Dataset'!F39:H39),"")</f>
        <v/>
      </c>
      <c r="AK39" s="140">
        <f t="shared" si="13"/>
        <v>0</v>
      </c>
      <c r="AL39" s="94">
        <f t="shared" si="14"/>
        <v>1116404.0054843791</v>
      </c>
      <c r="AM39" s="103"/>
      <c r="AN39" s="80">
        <f t="shared" si="2"/>
        <v>1097497.0554843792</v>
      </c>
      <c r="AO39" s="165">
        <f>AN39/SUM('TABLE 4 - October 2016 Dataset'!F39:H39)</f>
        <v>3397.8237011900283</v>
      </c>
      <c r="AP39" s="165">
        <f t="shared" si="3"/>
        <v>102.17629880997174</v>
      </c>
      <c r="AQ39" s="165">
        <f>AP39*SUM('TABLE 4 - October 2016 Dataset'!F39:H39)</f>
        <v>33002.944515620875</v>
      </c>
      <c r="AR39" s="94">
        <f t="shared" si="15"/>
        <v>1149406.95</v>
      </c>
      <c r="AS39" s="103"/>
      <c r="AT39" s="80">
        <f>N39-(AF39+AG39+'TABLE 4 - October 2016 Dataset'!Y39)</f>
        <v>879971.29055844259</v>
      </c>
      <c r="AU39" s="187">
        <f t="shared" si="16"/>
        <v>1020500</v>
      </c>
      <c r="AV39" s="165">
        <f t="shared" si="17"/>
        <v>2724.3693206143735</v>
      </c>
      <c r="AW39" s="165">
        <f>AU39/SUM('TABLE 4 - October 2016 Dataset'!F39:H39)</f>
        <v>3159.4427244582043</v>
      </c>
      <c r="AX39" s="173">
        <f t="shared" si="18"/>
        <v>0.15969692528534174</v>
      </c>
      <c r="AY39" s="173">
        <f t="shared" si="19"/>
        <v>0</v>
      </c>
      <c r="AZ39" s="175">
        <f t="shared" si="20"/>
        <v>0</v>
      </c>
      <c r="BA39" s="165">
        <f t="shared" si="21"/>
        <v>0</v>
      </c>
      <c r="BB39" s="94">
        <f t="shared" si="22"/>
        <v>1149406.95</v>
      </c>
      <c r="BC39" s="103"/>
      <c r="BD39" s="184">
        <f>'TABLE 1 - 2018-19 Provisional'!BR39-('TABLE 2 - 2019-20 Illustrative'!AF39+'TABLE 2 - 2019-20 Illustrative'!AG39+'TABLE 1 - 2018-19 Provisional'!AH39)</f>
        <v>955900</v>
      </c>
      <c r="BE39" s="165">
        <f>BD39/SUM('TABLE 4 - October 2016 Dataset'!F39:H39)</f>
        <v>2959.4427244582043</v>
      </c>
      <c r="BF39" s="173">
        <f t="shared" si="23"/>
        <v>8.6285439373109396E-2</v>
      </c>
      <c r="BG39" s="173">
        <f t="shared" si="24"/>
        <v>6.758029082540018E-2</v>
      </c>
      <c r="BH39" s="173">
        <f>'TABLE 1 - 2018-19 Provisional'!BF39</f>
        <v>0.15969692528534174</v>
      </c>
      <c r="BI39" s="185">
        <f t="shared" si="4"/>
        <v>1.3516058165080037E-2</v>
      </c>
      <c r="BJ39" s="185">
        <f t="shared" si="5"/>
        <v>0.03</v>
      </c>
      <c r="BK39" s="173">
        <f t="shared" si="6"/>
        <v>-3.7580290825400181E-2</v>
      </c>
      <c r="BL39" s="175">
        <f t="shared" si="7"/>
        <v>-111.21671826625398</v>
      </c>
      <c r="BM39" s="165">
        <f>BL39*SUM('TABLE 4 - October 2016 Dataset'!F39:H39)</f>
        <v>-35923.000000000036</v>
      </c>
      <c r="BN39" s="94">
        <f t="shared" si="8"/>
        <v>1113483.95</v>
      </c>
      <c r="BO39" s="103"/>
      <c r="BP39" s="179">
        <f t="shared" si="9"/>
        <v>1094577</v>
      </c>
      <c r="BQ39" s="175">
        <f>BP39/SUM('TABLE 4 - October 2016 Dataset'!F39:H39)</f>
        <v>3388.7832817337462</v>
      </c>
      <c r="BR39" s="175">
        <f t="shared" si="25"/>
        <v>111.21671826625379</v>
      </c>
      <c r="BS39" s="175">
        <f>BR39*SUM('TABLE 4 - October 2016 Dataset'!F39:H39)</f>
        <v>35922.999999999978</v>
      </c>
      <c r="BT39" s="94">
        <f t="shared" si="26"/>
        <v>1149406.95</v>
      </c>
      <c r="BU39" s="103"/>
      <c r="BV39" s="80">
        <f t="shared" si="27"/>
        <v>1008878.2405584425</v>
      </c>
      <c r="BW39" s="122">
        <f t="shared" si="28"/>
        <v>3123.4620450725774</v>
      </c>
      <c r="BX39" s="264">
        <f t="shared" si="29"/>
        <v>1149406.95</v>
      </c>
      <c r="BY39" s="81">
        <f>BX39/SUM('TABLE 4 - October 2016 Dataset'!F39:H39)</f>
        <v>3558.5354489164083</v>
      </c>
      <c r="BZ39" s="264">
        <f t="shared" si="30"/>
        <v>140528.70944155741</v>
      </c>
      <c r="CA39" s="81">
        <f t="shared" si="31"/>
        <v>435.07340384383087</v>
      </c>
      <c r="CB39" s="269">
        <f t="shared" si="32"/>
        <v>0.13929204119197849</v>
      </c>
      <c r="CC39" s="103"/>
      <c r="CD39" s="80">
        <f>'TABLE 5 - DfE Published Figures'!O38</f>
        <v>1149000</v>
      </c>
      <c r="CE39" s="84">
        <f t="shared" si="33"/>
        <v>0</v>
      </c>
      <c r="CF39" s="81"/>
      <c r="CG39" s="81"/>
      <c r="CH39" s="81"/>
      <c r="CI39" s="81"/>
      <c r="CJ39" s="2"/>
    </row>
    <row r="40" spans="2:88" ht="15.75">
      <c r="B40" s="198">
        <v>3212</v>
      </c>
      <c r="C40" s="60" t="s">
        <v>47</v>
      </c>
      <c r="D40" s="204" t="s">
        <v>72</v>
      </c>
      <c r="F40" s="80">
        <v>601</v>
      </c>
      <c r="G40" s="163"/>
      <c r="H40" s="164">
        <v>-3</v>
      </c>
      <c r="I40" s="94">
        <f t="shared" si="0"/>
        <v>598</v>
      </c>
      <c r="J40" s="103"/>
      <c r="K40" s="80">
        <v>1782556.8801418711</v>
      </c>
      <c r="L40" s="163"/>
      <c r="M40" s="163"/>
      <c r="N40" s="94">
        <f t="shared" si="1"/>
        <v>1782556.8801418711</v>
      </c>
      <c r="O40" s="103"/>
      <c r="P40" s="80">
        <f>P$76*'TABLE 4 - October 2016 Dataset'!F40</f>
        <v>1642700.0199999998</v>
      </c>
      <c r="Q40" s="160"/>
      <c r="R40" s="161"/>
      <c r="S40" s="162">
        <f t="shared" si="10"/>
        <v>1642700.0199999998</v>
      </c>
      <c r="T40" s="165">
        <f>T$76*'TABLE 4 - October 2016 Dataset'!I40</f>
        <v>7040.0000000000091</v>
      </c>
      <c r="U40" s="165">
        <f>U$76*'TABLE 4 - October 2016 Dataset'!J40</f>
        <v>20816.330578512396</v>
      </c>
      <c r="V40" s="165">
        <f>V$76*'TABLE 4 - October 2016 Dataset'!K40</f>
        <v>0</v>
      </c>
      <c r="W40" s="165">
        <f>W$76*'TABLE 4 - October 2016 Dataset'!L40</f>
        <v>844.23529411764821</v>
      </c>
      <c r="X40" s="165">
        <f>X$76*'TABLE 4 - October 2016 Dataset'!M40</f>
        <v>0</v>
      </c>
      <c r="Y40" s="165">
        <f>Y$76*'TABLE 4 - October 2016 Dataset'!N40</f>
        <v>361.81512605041951</v>
      </c>
      <c r="Z40" s="165">
        <f>Z$76*'TABLE 4 - October 2016 Dataset'!O40</f>
        <v>241.21008403361301</v>
      </c>
      <c r="AA40" s="165">
        <f>AA$76*'TABLE 4 - October 2016 Dataset'!P40</f>
        <v>402.01680672268958</v>
      </c>
      <c r="AB40" s="162">
        <f t="shared" si="11"/>
        <v>29705.607889436775</v>
      </c>
      <c r="AC40" s="140">
        <f>AC$76*'TABLE 4 - October 2016 Dataset'!Q40</f>
        <v>171446.65822784809</v>
      </c>
      <c r="AD40" s="140">
        <f>AD$76*'TABLE 4 - October 2016 Dataset'!R40</f>
        <v>11339.980620155042</v>
      </c>
      <c r="AE40" s="140">
        <f>AE$76*'TABLE 4 - October 2016 Dataset'!S40</f>
        <v>0</v>
      </c>
      <c r="AF40" s="140">
        <f t="shared" si="12"/>
        <v>110000</v>
      </c>
      <c r="AG40" s="140">
        <f>IF('TABLE 4 - October 2016 Dataset'!X40="No",0,"*CHECK*")</f>
        <v>0</v>
      </c>
      <c r="AH40" s="140">
        <f>'TABLE 4 - October 2016 Dataset'!Y40</f>
        <v>13344</v>
      </c>
      <c r="AI40" s="170">
        <f>IF('TABLE 4 - October 2016 Dataset'!Z40&gt;0,('TABLE 4 - October 2016 Dataset'!Z40*(1+'TABLE 1 - 2018-19 Provisional'!AI$79)*(1+AI$79))-((AI$76*SUM('TABLE 4 - October 2016 Dataset'!F40:H40))+AI$77),0)</f>
        <v>0</v>
      </c>
      <c r="AJ40" s="166" t="str">
        <f>IF('TABLE 4 - October 2016 Dataset'!AA40="Yes",'TABLE 2 - 2019-20 Illustrative'!AJ$76*SUM('TABLE 4 - October 2016 Dataset'!F40:H40),"")</f>
        <v/>
      </c>
      <c r="AK40" s="140">
        <f t="shared" si="13"/>
        <v>0</v>
      </c>
      <c r="AL40" s="94">
        <f t="shared" si="14"/>
        <v>1978536.2667374399</v>
      </c>
      <c r="AM40" s="103"/>
      <c r="AN40" s="80">
        <f t="shared" si="2"/>
        <v>1965192.2667374399</v>
      </c>
      <c r="AO40" s="165">
        <f>AN40/SUM('TABLE 4 - October 2016 Dataset'!F40:H40)</f>
        <v>3286.2746935408695</v>
      </c>
      <c r="AP40" s="165">
        <f t="shared" si="3"/>
        <v>213.72530645913048</v>
      </c>
      <c r="AQ40" s="165">
        <f>AP40*SUM('TABLE 4 - October 2016 Dataset'!F40:H40)</f>
        <v>127807.73326256002</v>
      </c>
      <c r="AR40" s="94">
        <f t="shared" si="15"/>
        <v>2106344</v>
      </c>
      <c r="AS40" s="103"/>
      <c r="AT40" s="80">
        <f>N40-(AF40+AG40+'TABLE 4 - October 2016 Dataset'!Y40)</f>
        <v>1659212.8801418711</v>
      </c>
      <c r="AU40" s="187">
        <f t="shared" si="16"/>
        <v>1983000</v>
      </c>
      <c r="AV40" s="165">
        <f t="shared" si="17"/>
        <v>2774.6034784981121</v>
      </c>
      <c r="AW40" s="165">
        <f>AU40/SUM('TABLE 4 - October 2016 Dataset'!F40:H40)</f>
        <v>3316.0535117056857</v>
      </c>
      <c r="AX40" s="173">
        <f t="shared" si="18"/>
        <v>0.1951450134779833</v>
      </c>
      <c r="AY40" s="173">
        <f t="shared" si="19"/>
        <v>0</v>
      </c>
      <c r="AZ40" s="175">
        <f t="shared" si="20"/>
        <v>0</v>
      </c>
      <c r="BA40" s="165">
        <f t="shared" si="21"/>
        <v>0</v>
      </c>
      <c r="BB40" s="94">
        <f t="shared" si="22"/>
        <v>2106344</v>
      </c>
      <c r="BC40" s="103"/>
      <c r="BD40" s="184">
        <f>'TABLE 1 - 2018-19 Provisional'!BR40-('TABLE 2 - 2019-20 Illustrative'!AF40+'TABLE 2 - 2019-20 Illustrative'!AG40+'TABLE 1 - 2018-19 Provisional'!AH40)</f>
        <v>1863400</v>
      </c>
      <c r="BE40" s="165">
        <f>BD40/SUM('TABLE 4 - October 2016 Dataset'!F40:H40)</f>
        <v>3116.0535117056857</v>
      </c>
      <c r="BF40" s="173">
        <f t="shared" si="23"/>
        <v>0.12306264151027446</v>
      </c>
      <c r="BG40" s="173">
        <f t="shared" si="24"/>
        <v>6.4183750134163331E-2</v>
      </c>
      <c r="BH40" s="173">
        <f>'TABLE 1 - 2018-19 Provisional'!BF40</f>
        <v>0.1951450134779833</v>
      </c>
      <c r="BI40" s="185">
        <f t="shared" si="4"/>
        <v>1.2836750026832667E-2</v>
      </c>
      <c r="BJ40" s="185">
        <f t="shared" si="5"/>
        <v>0.03</v>
      </c>
      <c r="BK40" s="173">
        <f t="shared" si="6"/>
        <v>-3.4183750134163332E-2</v>
      </c>
      <c r="BL40" s="175">
        <f t="shared" si="7"/>
        <v>-106.51839464882936</v>
      </c>
      <c r="BM40" s="165">
        <f>BL40*SUM('TABLE 4 - October 2016 Dataset'!F40:H40)</f>
        <v>-63697.999999999956</v>
      </c>
      <c r="BN40" s="94">
        <f t="shared" si="8"/>
        <v>2042646</v>
      </c>
      <c r="BO40" s="103"/>
      <c r="BP40" s="179">
        <f t="shared" si="9"/>
        <v>2029302</v>
      </c>
      <c r="BQ40" s="175">
        <f>BP40/SUM('TABLE 4 - October 2016 Dataset'!F40:H40)</f>
        <v>3393.4816053511704</v>
      </c>
      <c r="BR40" s="175">
        <f t="shared" si="25"/>
        <v>106.5183946488296</v>
      </c>
      <c r="BS40" s="175">
        <f>BR40*SUM('TABLE 4 - October 2016 Dataset'!F40:H40)</f>
        <v>63698.000000000102</v>
      </c>
      <c r="BT40" s="94">
        <f t="shared" si="26"/>
        <v>2106344</v>
      </c>
      <c r="BU40" s="103"/>
      <c r="BV40" s="80">
        <f t="shared" si="27"/>
        <v>1782556.8801418711</v>
      </c>
      <c r="BW40" s="122">
        <f t="shared" si="28"/>
        <v>2980.8643480633295</v>
      </c>
      <c r="BX40" s="264">
        <f t="shared" si="29"/>
        <v>2106344</v>
      </c>
      <c r="BY40" s="81">
        <f>BX40/SUM('TABLE 4 - October 2016 Dataset'!F40:H40)</f>
        <v>3522.3143812709031</v>
      </c>
      <c r="BZ40" s="264">
        <f t="shared" si="30"/>
        <v>323787.11985812895</v>
      </c>
      <c r="CA40" s="81">
        <f t="shared" si="31"/>
        <v>541.4500332075736</v>
      </c>
      <c r="CB40" s="269">
        <f t="shared" si="32"/>
        <v>0.18164195682348117</v>
      </c>
      <c r="CC40" s="103"/>
      <c r="CD40" s="80">
        <f>'TABLE 5 - DfE Published Figures'!O39</f>
        <v>2093000</v>
      </c>
      <c r="CE40" s="84">
        <f t="shared" si="33"/>
        <v>13000</v>
      </c>
      <c r="CF40" s="81"/>
      <c r="CG40" s="81"/>
      <c r="CH40" s="81"/>
      <c r="CI40" s="81"/>
      <c r="CJ40" s="2"/>
    </row>
    <row r="41" spans="2:88" ht="15.75">
      <c r="B41" s="198">
        <v>2349</v>
      </c>
      <c r="C41" s="60" t="s">
        <v>48</v>
      </c>
      <c r="D41" s="204"/>
      <c r="F41" s="80">
        <v>93</v>
      </c>
      <c r="G41" s="163"/>
      <c r="H41" s="164">
        <v>0</v>
      </c>
      <c r="I41" s="94">
        <f t="shared" si="0"/>
        <v>93</v>
      </c>
      <c r="J41" s="103"/>
      <c r="K41" s="80">
        <v>427251.78980446298</v>
      </c>
      <c r="L41" s="163"/>
      <c r="M41" s="163"/>
      <c r="N41" s="94">
        <f t="shared" si="1"/>
        <v>427251.78980446298</v>
      </c>
      <c r="O41" s="103"/>
      <c r="P41" s="80">
        <f>P$76*'TABLE 4 - October 2016 Dataset'!F41</f>
        <v>255470.06999999998</v>
      </c>
      <c r="Q41" s="160"/>
      <c r="R41" s="161"/>
      <c r="S41" s="162">
        <f t="shared" si="10"/>
        <v>255470.06999999998</v>
      </c>
      <c r="T41" s="165">
        <f>T$76*'TABLE 4 - October 2016 Dataset'!I41</f>
        <v>2640.0000000000014</v>
      </c>
      <c r="U41" s="165">
        <f>U$76*'TABLE 4 - October 2016 Dataset'!J41</f>
        <v>3362.3684210526349</v>
      </c>
      <c r="V41" s="165">
        <f>V$76*'TABLE 4 - October 2016 Dataset'!K41</f>
        <v>0</v>
      </c>
      <c r="W41" s="165">
        <f>W$76*'TABLE 4 - October 2016 Dataset'!L41</f>
        <v>0</v>
      </c>
      <c r="X41" s="165">
        <f>X$76*'TABLE 4 - October 2016 Dataset'!M41</f>
        <v>0</v>
      </c>
      <c r="Y41" s="165">
        <f>Y$76*'TABLE 4 - October 2016 Dataset'!N41</f>
        <v>1439.9999999999986</v>
      </c>
      <c r="Z41" s="165">
        <f>Z$76*'TABLE 4 - October 2016 Dataset'!O41</f>
        <v>0</v>
      </c>
      <c r="AA41" s="165">
        <f>AA$76*'TABLE 4 - October 2016 Dataset'!P41</f>
        <v>1000.0000000000009</v>
      </c>
      <c r="AB41" s="162">
        <f t="shared" si="11"/>
        <v>8442.3684210526371</v>
      </c>
      <c r="AC41" s="140">
        <f>AC$76*'TABLE 4 - October 2016 Dataset'!Q41</f>
        <v>18541.139240506342</v>
      </c>
      <c r="AD41" s="140">
        <f>AD$76*'TABLE 4 - October 2016 Dataset'!R41</f>
        <v>0</v>
      </c>
      <c r="AE41" s="140">
        <f>AE$76*'TABLE 4 - October 2016 Dataset'!S41</f>
        <v>2630.6999999999898</v>
      </c>
      <c r="AF41" s="140">
        <f t="shared" si="12"/>
        <v>110000</v>
      </c>
      <c r="AG41" s="140">
        <f>IF('TABLE 4 - October 2016 Dataset'!X41="No",0,"*CHECK*")</f>
        <v>0</v>
      </c>
      <c r="AH41" s="140">
        <f>'TABLE 4 - October 2016 Dataset'!Y41</f>
        <v>7676.51</v>
      </c>
      <c r="AI41" s="170">
        <f>IF('TABLE 4 - October 2016 Dataset'!Z41&gt;0,('TABLE 4 - October 2016 Dataset'!Z41*(1+'TABLE 1 - 2018-19 Provisional'!AI$79)*(1+AI$79))-((AI$76*SUM('TABLE 4 - October 2016 Dataset'!F41:H41))+AI$77),0)</f>
        <v>0</v>
      </c>
      <c r="AJ41" s="166" t="str">
        <f>IF('TABLE 4 - October 2016 Dataset'!AA41="Yes",'TABLE 2 - 2019-20 Illustrative'!AJ$76*SUM('TABLE 4 - October 2016 Dataset'!F41:H41),"")</f>
        <v/>
      </c>
      <c r="AK41" s="140">
        <f t="shared" si="13"/>
        <v>0</v>
      </c>
      <c r="AL41" s="94">
        <f t="shared" si="14"/>
        <v>402760.78766155895</v>
      </c>
      <c r="AM41" s="103"/>
      <c r="AN41" s="80">
        <f t="shared" si="2"/>
        <v>395084.27766155894</v>
      </c>
      <c r="AO41" s="165">
        <f>AN41/SUM('TABLE 4 - October 2016 Dataset'!F41:H41)</f>
        <v>4248.2180393716017</v>
      </c>
      <c r="AP41" s="165">
        <f t="shared" si="3"/>
        <v>0</v>
      </c>
      <c r="AQ41" s="165">
        <f>AP41*SUM('TABLE 4 - October 2016 Dataset'!F41:H41)</f>
        <v>0</v>
      </c>
      <c r="AR41" s="94">
        <f t="shared" si="15"/>
        <v>402760.78766155895</v>
      </c>
      <c r="AS41" s="103"/>
      <c r="AT41" s="80">
        <f>N41-(AF41+AG41+'TABLE 4 - October 2016 Dataset'!Y41)</f>
        <v>309575.27980446297</v>
      </c>
      <c r="AU41" s="187">
        <f t="shared" si="16"/>
        <v>285084.27766155894</v>
      </c>
      <c r="AV41" s="165">
        <f t="shared" si="17"/>
        <v>3328.7664495103545</v>
      </c>
      <c r="AW41" s="165">
        <f>AU41/SUM('TABLE 4 - October 2016 Dataset'!F41:H41)</f>
        <v>3065.4223404468703</v>
      </c>
      <c r="AX41" s="173">
        <f t="shared" si="18"/>
        <v>-7.911162079340861E-2</v>
      </c>
      <c r="AY41" s="173">
        <f t="shared" si="19"/>
        <v>8.9111620793408605E-2</v>
      </c>
      <c r="AZ41" s="175">
        <f t="shared" si="20"/>
        <v>296.63177355858784</v>
      </c>
      <c r="BA41" s="165">
        <f t="shared" si="21"/>
        <v>27586.754940948667</v>
      </c>
      <c r="BB41" s="94">
        <f t="shared" si="22"/>
        <v>430347.54260250763</v>
      </c>
      <c r="BC41" s="103"/>
      <c r="BD41" s="184">
        <f>'TABLE 1 - 2018-19 Provisional'!BR41-('TABLE 2 - 2019-20 Illustrative'!AF41+'TABLE 2 - 2019-20 Illustrative'!AG41+'TABLE 1 - 2018-19 Provisional'!AH41)</f>
        <v>311123.15620348527</v>
      </c>
      <c r="BE41" s="165">
        <f>BD41/SUM('TABLE 4 - October 2016 Dataset'!F41:H41)</f>
        <v>3345.410281757906</v>
      </c>
      <c r="BF41" s="173">
        <f t="shared" si="23"/>
        <v>4.9999999999998934E-3</v>
      </c>
      <c r="BG41" s="173">
        <f t="shared" si="24"/>
        <v>-8.3693155018316867E-2</v>
      </c>
      <c r="BH41" s="173">
        <f>'TABLE 1 - 2018-19 Provisional'!BF41</f>
        <v>-7.911162079340861E-2</v>
      </c>
      <c r="BI41" s="185" t="str">
        <f t="shared" ref="BI41:BI58" si="34">IF(BH41&gt;AY$76,BI$76*BG41,"            NA")</f>
        <v xml:space="preserve">            NA</v>
      </c>
      <c r="BJ41" s="185">
        <f t="shared" si="5"/>
        <v>5.0000000000000001E-3</v>
      </c>
      <c r="BK41" s="173">
        <f t="shared" ref="BK41:BK58" si="35">IF(BG41&gt;BJ41,BJ41-BG41,0)</f>
        <v>0</v>
      </c>
      <c r="BL41" s="175">
        <f t="shared" ref="BL41:BL58" si="36">BK41*BE41</f>
        <v>0</v>
      </c>
      <c r="BM41" s="165">
        <f>BL41*SUM('TABLE 4 - October 2016 Dataset'!F41:H41)</f>
        <v>0</v>
      </c>
      <c r="BN41" s="94">
        <f t="shared" ref="BN41:BN58" si="37">BB41+BM41</f>
        <v>430347.54260250763</v>
      </c>
      <c r="BO41" s="103"/>
      <c r="BP41" s="179">
        <f t="shared" ref="BP41:BP58" si="38">BN41-SUM(AH41:AJ41)</f>
        <v>422671.03260250762</v>
      </c>
      <c r="BQ41" s="175">
        <f>BP41/SUM('TABLE 4 - October 2016 Dataset'!F41:H41)</f>
        <v>4544.8498129301897</v>
      </c>
      <c r="BR41" s="175">
        <f t="shared" si="25"/>
        <v>0</v>
      </c>
      <c r="BS41" s="175">
        <f>BR41*SUM('TABLE 4 - October 2016 Dataset'!F41:H41)</f>
        <v>0</v>
      </c>
      <c r="BT41" s="94">
        <f t="shared" si="26"/>
        <v>430347.54260250763</v>
      </c>
      <c r="BU41" s="103"/>
      <c r="BV41" s="80">
        <f t="shared" si="27"/>
        <v>427251.78980446298</v>
      </c>
      <c r="BW41" s="122">
        <f t="shared" si="28"/>
        <v>4594.105266714656</v>
      </c>
      <c r="BX41" s="264">
        <f t="shared" si="29"/>
        <v>430347.54260250763</v>
      </c>
      <c r="BY41" s="81">
        <f>BX41/SUM('TABLE 4 - October 2016 Dataset'!F41:H41)</f>
        <v>4627.3929312097598</v>
      </c>
      <c r="BZ41" s="264">
        <f t="shared" si="30"/>
        <v>3095.7527980446466</v>
      </c>
      <c r="CA41" s="81">
        <f t="shared" si="31"/>
        <v>33.287664495103854</v>
      </c>
      <c r="CB41" s="269">
        <f t="shared" si="32"/>
        <v>7.2457339487365692E-3</v>
      </c>
      <c r="CC41" s="103"/>
      <c r="CD41" s="80">
        <f>'TABLE 5 - DfE Published Figures'!O40</f>
        <v>430000</v>
      </c>
      <c r="CE41" s="84">
        <f t="shared" si="33"/>
        <v>0</v>
      </c>
      <c r="CF41" s="81"/>
      <c r="CG41" s="81"/>
      <c r="CH41" s="81"/>
      <c r="CI41" s="81"/>
      <c r="CJ41" s="2"/>
    </row>
    <row r="42" spans="2:88" ht="15.75">
      <c r="B42" s="198">
        <v>2016</v>
      </c>
      <c r="C42" s="60" t="s">
        <v>50</v>
      </c>
      <c r="D42" s="204" t="s">
        <v>73</v>
      </c>
      <c r="F42" s="80">
        <v>341</v>
      </c>
      <c r="G42" s="163"/>
      <c r="H42" s="164">
        <v>0</v>
      </c>
      <c r="I42" s="94">
        <f t="shared" si="0"/>
        <v>341</v>
      </c>
      <c r="J42" s="103"/>
      <c r="K42" s="80">
        <v>1125452.9398322031</v>
      </c>
      <c r="L42" s="163"/>
      <c r="M42" s="163"/>
      <c r="N42" s="94">
        <f t="shared" si="1"/>
        <v>1125452.9398322031</v>
      </c>
      <c r="O42" s="103"/>
      <c r="P42" s="80">
        <f>P$76*'TABLE 4 - October 2016 Dataset'!F42</f>
        <v>936723.59</v>
      </c>
      <c r="Q42" s="160"/>
      <c r="R42" s="161"/>
      <c r="S42" s="162">
        <f t="shared" si="10"/>
        <v>936723.59</v>
      </c>
      <c r="T42" s="165">
        <f>T$76*'TABLE 4 - October 2016 Dataset'!I42</f>
        <v>12759.999999999996</v>
      </c>
      <c r="U42" s="165">
        <f>U$76*'TABLE 4 - October 2016 Dataset'!J42</f>
        <v>23796.553846153849</v>
      </c>
      <c r="V42" s="165">
        <f>V$76*'TABLE 4 - October 2016 Dataset'!K42</f>
        <v>0</v>
      </c>
      <c r="W42" s="165">
        <f>W$76*'TABLE 4 - October 2016 Dataset'!L42</f>
        <v>419.99999999999943</v>
      </c>
      <c r="X42" s="165">
        <f>X$76*'TABLE 4 - October 2016 Dataset'!M42</f>
        <v>780.00000000000034</v>
      </c>
      <c r="Y42" s="165">
        <f>Y$76*'TABLE 4 - October 2016 Dataset'!N42</f>
        <v>720.00000000000034</v>
      </c>
      <c r="Z42" s="165">
        <f>Z$76*'TABLE 4 - October 2016 Dataset'!O42</f>
        <v>21599.999999999964</v>
      </c>
      <c r="AA42" s="165">
        <f>AA$76*'TABLE 4 - October 2016 Dataset'!P42</f>
        <v>599.99999999999989</v>
      </c>
      <c r="AB42" s="162">
        <f t="shared" si="11"/>
        <v>60676.553846153809</v>
      </c>
      <c r="AC42" s="140">
        <f>AC$76*'TABLE 4 - October 2016 Dataset'!Q42</f>
        <v>96478.893446690417</v>
      </c>
      <c r="AD42" s="140">
        <f>AD$76*'TABLE 4 - October 2016 Dataset'!R42</f>
        <v>10475.280701754378</v>
      </c>
      <c r="AE42" s="140">
        <f>AE$76*'TABLE 4 - October 2016 Dataset'!S42</f>
        <v>0</v>
      </c>
      <c r="AF42" s="140">
        <f t="shared" si="12"/>
        <v>110000</v>
      </c>
      <c r="AG42" s="140">
        <f>IF('TABLE 4 - October 2016 Dataset'!X42="No",0,"*CHECK*")</f>
        <v>0</v>
      </c>
      <c r="AH42" s="140">
        <f>'TABLE 4 - October 2016 Dataset'!Y42</f>
        <v>3866.68</v>
      </c>
      <c r="AI42" s="170">
        <f>IF('TABLE 4 - October 2016 Dataset'!Z42&gt;0,('TABLE 4 - October 2016 Dataset'!Z42*(1+'TABLE 1 - 2018-19 Provisional'!AI$79)*(1+AI$79))-((AI$76*SUM('TABLE 4 - October 2016 Dataset'!F42:H42))+AI$77),0)</f>
        <v>0</v>
      </c>
      <c r="AJ42" s="166" t="str">
        <f>IF('TABLE 4 - October 2016 Dataset'!AA42="Yes",'TABLE 2 - 2019-20 Illustrative'!AJ$76*SUM('TABLE 4 - October 2016 Dataset'!F42:H42),"")</f>
        <v/>
      </c>
      <c r="AK42" s="140">
        <f t="shared" si="13"/>
        <v>0</v>
      </c>
      <c r="AL42" s="94">
        <f t="shared" si="14"/>
        <v>1218220.9979945985</v>
      </c>
      <c r="AM42" s="103"/>
      <c r="AN42" s="80">
        <f t="shared" si="2"/>
        <v>1214354.3179945985</v>
      </c>
      <c r="AO42" s="165">
        <f>AN42/SUM('TABLE 4 - October 2016 Dataset'!F42:H42)</f>
        <v>3561.1563577554211</v>
      </c>
      <c r="AP42" s="165">
        <f t="shared" si="3"/>
        <v>0</v>
      </c>
      <c r="AQ42" s="165">
        <f>AP42*SUM('TABLE 4 - October 2016 Dataset'!F42:H42)</f>
        <v>0</v>
      </c>
      <c r="AR42" s="94">
        <f t="shared" si="15"/>
        <v>1218220.9979945985</v>
      </c>
      <c r="AS42" s="103"/>
      <c r="AT42" s="80">
        <f>N42-(AF42+AG42+'TABLE 4 - October 2016 Dataset'!Y42)</f>
        <v>1011586.2598322032</v>
      </c>
      <c r="AU42" s="187">
        <f t="shared" si="16"/>
        <v>1104354.3179945985</v>
      </c>
      <c r="AV42" s="165">
        <f t="shared" si="17"/>
        <v>2966.5286212088067</v>
      </c>
      <c r="AW42" s="165">
        <f>AU42/SUM('TABLE 4 - October 2016 Dataset'!F42:H42)</f>
        <v>3238.5757125941304</v>
      </c>
      <c r="AX42" s="173">
        <f t="shared" si="18"/>
        <v>9.1705534017220813E-2</v>
      </c>
      <c r="AY42" s="173">
        <f t="shared" si="19"/>
        <v>0</v>
      </c>
      <c r="AZ42" s="175">
        <f t="shared" si="20"/>
        <v>0</v>
      </c>
      <c r="BA42" s="165">
        <f t="shared" si="21"/>
        <v>0</v>
      </c>
      <c r="BB42" s="94">
        <f t="shared" si="22"/>
        <v>1218220.9979945985</v>
      </c>
      <c r="BC42" s="103"/>
      <c r="BD42" s="184">
        <f>'TABLE 1 - 2018-19 Provisional'!BR42-('TABLE 2 - 2019-20 Illustrative'!AF42+'TABLE 2 - 2019-20 Illustrative'!AG42+'TABLE 1 - 2018-19 Provisional'!AH42)</f>
        <v>1041933.8476271695</v>
      </c>
      <c r="BE42" s="165">
        <f>BD42/SUM('TABLE 4 - October 2016 Dataset'!F42:H42)</f>
        <v>3055.5244798450717</v>
      </c>
      <c r="BF42" s="173">
        <f t="shared" si="23"/>
        <v>3.0000000000000249E-2</v>
      </c>
      <c r="BG42" s="173">
        <f t="shared" si="24"/>
        <v>5.9908285453612375E-2</v>
      </c>
      <c r="BH42" s="173">
        <f>'TABLE 1 - 2018-19 Provisional'!BF42</f>
        <v>9.1705534017220813E-2</v>
      </c>
      <c r="BI42" s="185">
        <f t="shared" si="34"/>
        <v>1.1981657090722476E-2</v>
      </c>
      <c r="BJ42" s="185">
        <f t="shared" si="5"/>
        <v>0.03</v>
      </c>
      <c r="BK42" s="173">
        <f t="shared" si="35"/>
        <v>-2.9908285453612377E-2</v>
      </c>
      <c r="BL42" s="175">
        <f t="shared" si="36"/>
        <v>-91.385498353706879</v>
      </c>
      <c r="BM42" s="165">
        <f>BL42*SUM('TABLE 4 - October 2016 Dataset'!F42:H42)</f>
        <v>-31162.454938614046</v>
      </c>
      <c r="BN42" s="94">
        <f t="shared" si="37"/>
        <v>1187058.5430559844</v>
      </c>
      <c r="BO42" s="103"/>
      <c r="BP42" s="179">
        <f t="shared" si="38"/>
        <v>1183191.8630559845</v>
      </c>
      <c r="BQ42" s="175">
        <f>BP42/SUM('TABLE 4 - October 2016 Dataset'!F42:H42)</f>
        <v>3469.770859401714</v>
      </c>
      <c r="BR42" s="175">
        <f t="shared" si="25"/>
        <v>30.229140598285994</v>
      </c>
      <c r="BS42" s="175">
        <f>BR42*SUM('TABLE 4 - October 2016 Dataset'!F42:H42)</f>
        <v>10308.136944015525</v>
      </c>
      <c r="BT42" s="94">
        <f t="shared" si="26"/>
        <v>1197366.68</v>
      </c>
      <c r="BU42" s="103"/>
      <c r="BV42" s="80">
        <f t="shared" si="27"/>
        <v>1125452.9398322031</v>
      </c>
      <c r="BW42" s="122">
        <f t="shared" si="28"/>
        <v>3300.448503906754</v>
      </c>
      <c r="BX42" s="264">
        <f t="shared" si="29"/>
        <v>1197366.68</v>
      </c>
      <c r="BY42" s="81">
        <f>BX42/SUM('TABLE 4 - October 2016 Dataset'!F42:H42)</f>
        <v>3511.3392375366566</v>
      </c>
      <c r="BZ42" s="264">
        <f t="shared" si="30"/>
        <v>71913.740167796845</v>
      </c>
      <c r="CA42" s="81">
        <f t="shared" si="31"/>
        <v>210.89073362990257</v>
      </c>
      <c r="CB42" s="269">
        <f t="shared" si="32"/>
        <v>6.389759857797217E-2</v>
      </c>
      <c r="CC42" s="103"/>
      <c r="CD42" s="80">
        <f>'TABLE 5 - DfE Published Figures'!O41</f>
        <v>1194000</v>
      </c>
      <c r="CE42" s="84">
        <f t="shared" si="33"/>
        <v>3000</v>
      </c>
      <c r="CF42" s="81"/>
      <c r="CG42" s="81"/>
      <c r="CH42" s="81"/>
      <c r="CI42" s="81"/>
      <c r="CJ42" s="2"/>
    </row>
    <row r="43" spans="2:88" ht="15.75">
      <c r="B43" s="198">
        <v>2169</v>
      </c>
      <c r="C43" s="60" t="s">
        <v>51</v>
      </c>
      <c r="D43" s="204"/>
      <c r="F43" s="80">
        <v>80</v>
      </c>
      <c r="G43" s="163"/>
      <c r="H43" s="164">
        <v>0</v>
      </c>
      <c r="I43" s="94">
        <f t="shared" si="0"/>
        <v>80</v>
      </c>
      <c r="J43" s="103"/>
      <c r="K43" s="80">
        <v>400175.05941763445</v>
      </c>
      <c r="L43" s="163"/>
      <c r="M43" s="163"/>
      <c r="N43" s="94">
        <f t="shared" si="1"/>
        <v>400175.05941763445</v>
      </c>
      <c r="O43" s="103"/>
      <c r="P43" s="80">
        <f>P$76*'TABLE 4 - October 2016 Dataset'!F43</f>
        <v>219759.19999999998</v>
      </c>
      <c r="Q43" s="160"/>
      <c r="R43" s="161"/>
      <c r="S43" s="162">
        <f t="shared" si="10"/>
        <v>219759.19999999998</v>
      </c>
      <c r="T43" s="165">
        <f>T$76*'TABLE 4 - October 2016 Dataset'!I43</f>
        <v>3520</v>
      </c>
      <c r="U43" s="165">
        <f>U$76*'TABLE 4 - October 2016 Dataset'!J43</f>
        <v>10924.137931034484</v>
      </c>
      <c r="V43" s="165">
        <f>V$76*'TABLE 4 - October 2016 Dataset'!K43</f>
        <v>0</v>
      </c>
      <c r="W43" s="165">
        <f>W$76*'TABLE 4 - October 2016 Dataset'!L43</f>
        <v>840</v>
      </c>
      <c r="X43" s="165">
        <f>X$76*'TABLE 4 - October 2016 Dataset'!M43</f>
        <v>0</v>
      </c>
      <c r="Y43" s="165">
        <f>Y$76*'TABLE 4 - October 2016 Dataset'!N43</f>
        <v>360</v>
      </c>
      <c r="Z43" s="165">
        <f>Z$76*'TABLE 4 - October 2016 Dataset'!O43</f>
        <v>0</v>
      </c>
      <c r="AA43" s="165">
        <f>AA$76*'TABLE 4 - October 2016 Dataset'!P43</f>
        <v>200</v>
      </c>
      <c r="AB43" s="162">
        <f t="shared" si="11"/>
        <v>15844.137931034484</v>
      </c>
      <c r="AC43" s="140">
        <f>AC$76*'TABLE 4 - October 2016 Dataset'!Q43</f>
        <v>24475.972540045757</v>
      </c>
      <c r="AD43" s="140">
        <f>AD$76*'TABLE 4 - October 2016 Dataset'!R43</f>
        <v>597.10144927536214</v>
      </c>
      <c r="AE43" s="140">
        <f>AE$76*'TABLE 4 - October 2016 Dataset'!S43</f>
        <v>0</v>
      </c>
      <c r="AF43" s="140">
        <f t="shared" si="12"/>
        <v>110000</v>
      </c>
      <c r="AG43" s="140">
        <f>IF('TABLE 4 - October 2016 Dataset'!X43="No",0,"*CHECK*")</f>
        <v>0</v>
      </c>
      <c r="AH43" s="140">
        <f>'TABLE 4 - October 2016 Dataset'!Y43</f>
        <v>12240</v>
      </c>
      <c r="AI43" s="170">
        <f>IF('TABLE 4 - October 2016 Dataset'!Z43&gt;0,('TABLE 4 - October 2016 Dataset'!Z43*(1+'TABLE 1 - 2018-19 Provisional'!AI$79)*(1+AI$79))-((AI$76*SUM('TABLE 4 - October 2016 Dataset'!F43:H43))+AI$77),0)</f>
        <v>0</v>
      </c>
      <c r="AJ43" s="166" t="str">
        <f>IF('TABLE 4 - October 2016 Dataset'!AA43="Yes",'TABLE 2 - 2019-20 Illustrative'!AJ$76*SUM('TABLE 4 - October 2016 Dataset'!F43:H43),"")</f>
        <v/>
      </c>
      <c r="AK43" s="140">
        <f t="shared" si="13"/>
        <v>0</v>
      </c>
      <c r="AL43" s="94">
        <f t="shared" si="14"/>
        <v>382916.41192035563</v>
      </c>
      <c r="AM43" s="103"/>
      <c r="AN43" s="80">
        <f t="shared" si="2"/>
        <v>370676.41192035563</v>
      </c>
      <c r="AO43" s="165">
        <f>AN43/SUM('TABLE 4 - October 2016 Dataset'!F43:H43)</f>
        <v>4633.455149004445</v>
      </c>
      <c r="AP43" s="165">
        <f t="shared" si="3"/>
        <v>0</v>
      </c>
      <c r="AQ43" s="165">
        <f>AP43*SUM('TABLE 4 - October 2016 Dataset'!F43:H43)</f>
        <v>0</v>
      </c>
      <c r="AR43" s="94">
        <f t="shared" si="15"/>
        <v>382916.41192035563</v>
      </c>
      <c r="AS43" s="103"/>
      <c r="AT43" s="80">
        <f>N43-(AF43+AG43+'TABLE 4 - October 2016 Dataset'!Y43)</f>
        <v>277935.05941763445</v>
      </c>
      <c r="AU43" s="187">
        <f t="shared" si="16"/>
        <v>260676.41192035563</v>
      </c>
      <c r="AV43" s="165">
        <f t="shared" si="17"/>
        <v>3474.1882427204305</v>
      </c>
      <c r="AW43" s="165">
        <f>AU43/SUM('TABLE 4 - October 2016 Dataset'!F43:H43)</f>
        <v>3258.4551490044455</v>
      </c>
      <c r="AX43" s="173">
        <f t="shared" si="18"/>
        <v>-6.2095971387853499E-2</v>
      </c>
      <c r="AY43" s="173">
        <f t="shared" si="19"/>
        <v>7.2095971387853494E-2</v>
      </c>
      <c r="AZ43" s="175">
        <f t="shared" si="20"/>
        <v>250.47497614318917</v>
      </c>
      <c r="BA43" s="165">
        <f t="shared" si="21"/>
        <v>20037.998091455134</v>
      </c>
      <c r="BB43" s="94">
        <f t="shared" si="22"/>
        <v>402954.41001181077</v>
      </c>
      <c r="BC43" s="103"/>
      <c r="BD43" s="184">
        <f>'TABLE 1 - 2018-19 Provisional'!BR43-('TABLE 2 - 2019-20 Illustrative'!AF43+'TABLE 2 - 2019-20 Illustrative'!AG43+'TABLE 1 - 2018-19 Provisional'!AH43)</f>
        <v>279324.73471472261</v>
      </c>
      <c r="BE43" s="165">
        <f>BD43/SUM('TABLE 4 - October 2016 Dataset'!F43:H43)</f>
        <v>3491.5591839340327</v>
      </c>
      <c r="BF43" s="173">
        <f t="shared" si="23"/>
        <v>5.0000000000001155E-3</v>
      </c>
      <c r="BG43" s="173">
        <f t="shared" si="24"/>
        <v>-6.6762160584928898E-2</v>
      </c>
      <c r="BH43" s="173">
        <f>'TABLE 1 - 2018-19 Provisional'!BF43</f>
        <v>-6.2095971387853499E-2</v>
      </c>
      <c r="BI43" s="185" t="str">
        <f t="shared" si="34"/>
        <v xml:space="preserve">            NA</v>
      </c>
      <c r="BJ43" s="185">
        <f t="shared" si="5"/>
        <v>5.0000000000000001E-3</v>
      </c>
      <c r="BK43" s="173">
        <f t="shared" si="35"/>
        <v>0</v>
      </c>
      <c r="BL43" s="175">
        <f t="shared" si="36"/>
        <v>0</v>
      </c>
      <c r="BM43" s="165">
        <f>BL43*SUM('TABLE 4 - October 2016 Dataset'!F43:H43)</f>
        <v>0</v>
      </c>
      <c r="BN43" s="94">
        <f t="shared" si="37"/>
        <v>402954.41001181077</v>
      </c>
      <c r="BO43" s="103"/>
      <c r="BP43" s="179">
        <f t="shared" si="38"/>
        <v>390714.41001181077</v>
      </c>
      <c r="BQ43" s="175">
        <f>BP43/SUM('TABLE 4 - October 2016 Dataset'!F43:H43)</f>
        <v>4883.9301251476345</v>
      </c>
      <c r="BR43" s="175">
        <f t="shared" si="25"/>
        <v>0</v>
      </c>
      <c r="BS43" s="175">
        <f>BR43*SUM('TABLE 4 - October 2016 Dataset'!F43:H43)</f>
        <v>0</v>
      </c>
      <c r="BT43" s="94">
        <f t="shared" si="26"/>
        <v>402954.41001181077</v>
      </c>
      <c r="BU43" s="103"/>
      <c r="BV43" s="80">
        <f t="shared" si="27"/>
        <v>400175.05941763445</v>
      </c>
      <c r="BW43" s="122">
        <f t="shared" si="28"/>
        <v>5002.1882427204309</v>
      </c>
      <c r="BX43" s="264">
        <f t="shared" si="29"/>
        <v>402954.41001181077</v>
      </c>
      <c r="BY43" s="81">
        <f>BX43/SUM('TABLE 4 - October 2016 Dataset'!F43:H43)</f>
        <v>5036.9301251476345</v>
      </c>
      <c r="BZ43" s="264">
        <f t="shared" si="30"/>
        <v>2779.3505941763287</v>
      </c>
      <c r="CA43" s="81">
        <f t="shared" si="31"/>
        <v>34.741882427203564</v>
      </c>
      <c r="CB43" s="269">
        <f t="shared" si="32"/>
        <v>6.9453368688718632E-3</v>
      </c>
      <c r="CC43" s="103"/>
      <c r="CD43" s="80">
        <f>'TABLE 5 - DfE Published Figures'!O42</f>
        <v>403000</v>
      </c>
      <c r="CE43" s="84">
        <f t="shared" si="33"/>
        <v>0</v>
      </c>
      <c r="CF43" s="81"/>
      <c r="CG43" s="81"/>
      <c r="CH43" s="81"/>
      <c r="CI43" s="81"/>
      <c r="CJ43" s="2"/>
    </row>
    <row r="44" spans="2:88" ht="15.75">
      <c r="B44" s="198">
        <v>3401</v>
      </c>
      <c r="C44" s="60" t="s">
        <v>52</v>
      </c>
      <c r="D44" s="204"/>
      <c r="F44" s="80">
        <v>198</v>
      </c>
      <c r="G44" s="163"/>
      <c r="H44" s="164">
        <v>-1</v>
      </c>
      <c r="I44" s="94">
        <f t="shared" si="0"/>
        <v>197</v>
      </c>
      <c r="J44" s="103"/>
      <c r="K44" s="80">
        <v>729532.8116316197</v>
      </c>
      <c r="L44" s="163"/>
      <c r="M44" s="163"/>
      <c r="N44" s="94">
        <f t="shared" si="1"/>
        <v>729532.8116316197</v>
      </c>
      <c r="O44" s="103"/>
      <c r="P44" s="80">
        <f>P$76*'TABLE 4 - October 2016 Dataset'!F44</f>
        <v>541157.02999999991</v>
      </c>
      <c r="Q44" s="160"/>
      <c r="R44" s="161"/>
      <c r="S44" s="162">
        <f t="shared" si="10"/>
        <v>541157.02999999991</v>
      </c>
      <c r="T44" s="165">
        <f>T$76*'TABLE 4 - October 2016 Dataset'!I44</f>
        <v>13640.000000000038</v>
      </c>
      <c r="U44" s="165">
        <f>U$76*'TABLE 4 - October 2016 Dataset'!J44</f>
        <v>27848.167539267015</v>
      </c>
      <c r="V44" s="165">
        <f>V$76*'TABLE 4 - October 2016 Dataset'!K44</f>
        <v>0</v>
      </c>
      <c r="W44" s="165">
        <f>W$76*'TABLE 4 - October 2016 Dataset'!L44</f>
        <v>15197.142857142848</v>
      </c>
      <c r="X44" s="165">
        <f>X$76*'TABLE 4 - October 2016 Dataset'!M44</f>
        <v>1567.9591836734676</v>
      </c>
      <c r="Y44" s="165">
        <f>Y$76*'TABLE 4 - October 2016 Dataset'!N44</f>
        <v>0</v>
      </c>
      <c r="Z44" s="165">
        <f>Z$76*'TABLE 4 - October 2016 Dataset'!O44</f>
        <v>0</v>
      </c>
      <c r="AA44" s="165">
        <f>AA$76*'TABLE 4 - October 2016 Dataset'!P44</f>
        <v>16282.653061224491</v>
      </c>
      <c r="AB44" s="162">
        <f t="shared" si="11"/>
        <v>74535.922641307858</v>
      </c>
      <c r="AC44" s="140">
        <f>AC$76*'TABLE 4 - October 2016 Dataset'!Q44</f>
        <v>78389.583333333358</v>
      </c>
      <c r="AD44" s="140">
        <f>AD$76*'TABLE 4 - October 2016 Dataset'!R44</f>
        <v>4177.5588235294126</v>
      </c>
      <c r="AE44" s="140">
        <f>AE$76*'TABLE 4 - October 2016 Dataset'!S44</f>
        <v>0</v>
      </c>
      <c r="AF44" s="140">
        <f t="shared" si="12"/>
        <v>110000</v>
      </c>
      <c r="AG44" s="140">
        <f>IF('TABLE 4 - October 2016 Dataset'!X44="No",0,"*CHECK*")</f>
        <v>0</v>
      </c>
      <c r="AH44" s="140">
        <f>'TABLE 4 - October 2016 Dataset'!Y44</f>
        <v>2757.86</v>
      </c>
      <c r="AI44" s="170">
        <f>IF('TABLE 4 - October 2016 Dataset'!Z44&gt;0,('TABLE 4 - October 2016 Dataset'!Z44*(1+'TABLE 1 - 2018-19 Provisional'!AI$79)*(1+AI$79))-((AI$76*SUM('TABLE 4 - October 2016 Dataset'!F44:H44))+AI$77),0)</f>
        <v>0</v>
      </c>
      <c r="AJ44" s="166" t="str">
        <f>IF('TABLE 4 - October 2016 Dataset'!AA44="Yes",'TABLE 2 - 2019-20 Illustrative'!AJ$76*SUM('TABLE 4 - October 2016 Dataset'!F44:H44),"")</f>
        <v/>
      </c>
      <c r="AK44" s="140">
        <f t="shared" si="13"/>
        <v>0</v>
      </c>
      <c r="AL44" s="94">
        <f t="shared" si="14"/>
        <v>811017.95479817048</v>
      </c>
      <c r="AM44" s="103"/>
      <c r="AN44" s="80">
        <f t="shared" si="2"/>
        <v>808260.0947981705</v>
      </c>
      <c r="AO44" s="165">
        <f>AN44/SUM('TABLE 4 - October 2016 Dataset'!F44:H44)</f>
        <v>4102.843120802896</v>
      </c>
      <c r="AP44" s="165">
        <f t="shared" si="3"/>
        <v>0</v>
      </c>
      <c r="AQ44" s="165">
        <f>AP44*SUM('TABLE 4 - October 2016 Dataset'!F44:H44)</f>
        <v>0</v>
      </c>
      <c r="AR44" s="94">
        <f t="shared" si="15"/>
        <v>811017.95479817048</v>
      </c>
      <c r="AS44" s="103"/>
      <c r="AT44" s="80">
        <f>N44-(AF44+AG44+'TABLE 4 - October 2016 Dataset'!Y44)</f>
        <v>616774.95163161971</v>
      </c>
      <c r="AU44" s="187">
        <f t="shared" si="16"/>
        <v>698260.0947981705</v>
      </c>
      <c r="AV44" s="165">
        <f t="shared" si="17"/>
        <v>3130.8373179270038</v>
      </c>
      <c r="AW44" s="165">
        <f>AU44/SUM('TABLE 4 - October 2016 Dataset'!F44:H44)</f>
        <v>3544.4674862851293</v>
      </c>
      <c r="AX44" s="173">
        <f t="shared" si="18"/>
        <v>0.13211487099304131</v>
      </c>
      <c r="AY44" s="173">
        <f t="shared" si="19"/>
        <v>0</v>
      </c>
      <c r="AZ44" s="175">
        <f t="shared" si="20"/>
        <v>0</v>
      </c>
      <c r="BA44" s="165">
        <f t="shared" si="21"/>
        <v>0</v>
      </c>
      <c r="BB44" s="94">
        <f t="shared" si="22"/>
        <v>811017.95479817048</v>
      </c>
      <c r="BC44" s="103"/>
      <c r="BD44" s="184">
        <f>'TABLE 1 - 2018-19 Provisional'!BR44-('TABLE 2 - 2019-20 Illustrative'!AF44+'TABLE 2 - 2019-20 Illustrative'!AG44+'TABLE 1 - 2018-19 Provisional'!AH44)</f>
        <v>635278.20018056838</v>
      </c>
      <c r="BE44" s="165">
        <f>BD44/SUM('TABLE 4 - October 2016 Dataset'!F44:H44)</f>
        <v>3224.762437464814</v>
      </c>
      <c r="BF44" s="173">
        <f t="shared" si="23"/>
        <v>3.0000000000000027E-2</v>
      </c>
      <c r="BG44" s="173">
        <f t="shared" si="24"/>
        <v>9.9140651449554751E-2</v>
      </c>
      <c r="BH44" s="173">
        <f>'TABLE 1 - 2018-19 Provisional'!BF44</f>
        <v>0.13211487099304131</v>
      </c>
      <c r="BI44" s="185">
        <f t="shared" si="34"/>
        <v>1.9828130289910952E-2</v>
      </c>
      <c r="BJ44" s="185">
        <f t="shared" si="5"/>
        <v>0.03</v>
      </c>
      <c r="BK44" s="173">
        <f t="shared" si="35"/>
        <v>-6.9140651449554752E-2</v>
      </c>
      <c r="BL44" s="175">
        <f t="shared" si="36"/>
        <v>-222.9621756963713</v>
      </c>
      <c r="BM44" s="165">
        <f>BL44*SUM('TABLE 4 - October 2016 Dataset'!F44:H44)</f>
        <v>-43923.54861218515</v>
      </c>
      <c r="BN44" s="94">
        <f t="shared" si="37"/>
        <v>767094.40618598531</v>
      </c>
      <c r="BO44" s="103"/>
      <c r="BP44" s="179">
        <f t="shared" si="38"/>
        <v>764336.54618598532</v>
      </c>
      <c r="BQ44" s="175">
        <f>BP44/SUM('TABLE 4 - October 2016 Dataset'!F44:H44)</f>
        <v>3879.8809451065245</v>
      </c>
      <c r="BR44" s="175">
        <f t="shared" si="25"/>
        <v>0</v>
      </c>
      <c r="BS44" s="175">
        <f>BR44*SUM('TABLE 4 - October 2016 Dataset'!F44:H44)</f>
        <v>0</v>
      </c>
      <c r="BT44" s="94">
        <f t="shared" si="26"/>
        <v>767094.40618598531</v>
      </c>
      <c r="BU44" s="103"/>
      <c r="BV44" s="80">
        <f t="shared" si="27"/>
        <v>729532.8116316197</v>
      </c>
      <c r="BW44" s="122">
        <f t="shared" si="28"/>
        <v>3703.2122417848714</v>
      </c>
      <c r="BX44" s="264">
        <f t="shared" si="29"/>
        <v>767094.40618598531</v>
      </c>
      <c r="BY44" s="81">
        <f>BX44/SUM('TABLE 4 - October 2016 Dataset'!F44:H44)</f>
        <v>3893.8802344466258</v>
      </c>
      <c r="BZ44" s="264">
        <f t="shared" si="30"/>
        <v>37561.594554365613</v>
      </c>
      <c r="CA44" s="81">
        <f t="shared" si="31"/>
        <v>190.6679926617544</v>
      </c>
      <c r="CB44" s="269">
        <f t="shared" si="32"/>
        <v>5.1487190096848566E-2</v>
      </c>
      <c r="CC44" s="103"/>
      <c r="CD44" s="80">
        <f>'TABLE 5 - DfE Published Figures'!O43</f>
        <v>767000</v>
      </c>
      <c r="CE44" s="84">
        <f t="shared" si="33"/>
        <v>0</v>
      </c>
      <c r="CF44" s="81"/>
      <c r="CG44" s="81"/>
      <c r="CH44" s="81"/>
      <c r="CI44" s="81"/>
      <c r="CJ44" s="2"/>
    </row>
    <row r="45" spans="2:88" ht="15.75">
      <c r="B45" s="198">
        <v>3002</v>
      </c>
      <c r="C45" s="60" t="s">
        <v>49</v>
      </c>
      <c r="D45" s="204"/>
      <c r="F45" s="80">
        <v>152</v>
      </c>
      <c r="G45" s="163"/>
      <c r="H45" s="164">
        <v>0</v>
      </c>
      <c r="I45" s="94">
        <f t="shared" si="0"/>
        <v>152</v>
      </c>
      <c r="J45" s="103"/>
      <c r="K45" s="80">
        <v>753025.69560504716</v>
      </c>
      <c r="L45" s="163"/>
      <c r="M45" s="108">
        <v>34003.516666666997</v>
      </c>
      <c r="N45" s="94">
        <f t="shared" si="1"/>
        <v>787029.21227171412</v>
      </c>
      <c r="O45" s="103"/>
      <c r="P45" s="80">
        <f>P$76*'TABLE 4 - October 2016 Dataset'!F45</f>
        <v>417542.48</v>
      </c>
      <c r="Q45" s="160"/>
      <c r="R45" s="161"/>
      <c r="S45" s="162">
        <f t="shared" si="10"/>
        <v>417542.48</v>
      </c>
      <c r="T45" s="165">
        <f>T$76*'TABLE 4 - October 2016 Dataset'!I45</f>
        <v>7920.0000000000027</v>
      </c>
      <c r="U45" s="165">
        <f>U$76*'TABLE 4 - October 2016 Dataset'!J45</f>
        <v>24076.799999999999</v>
      </c>
      <c r="V45" s="165">
        <f>V$76*'TABLE 4 - October 2016 Dataset'!K45</f>
        <v>0</v>
      </c>
      <c r="W45" s="165">
        <f>W$76*'TABLE 4 - October 2016 Dataset'!L45</f>
        <v>1260.0000000000025</v>
      </c>
      <c r="X45" s="165">
        <f>X$76*'TABLE 4 - October 2016 Dataset'!M45</f>
        <v>4679.9999999999982</v>
      </c>
      <c r="Y45" s="165">
        <f>Y$76*'TABLE 4 - October 2016 Dataset'!N45</f>
        <v>1080.0000000000023</v>
      </c>
      <c r="Z45" s="165">
        <f>Z$76*'TABLE 4 - October 2016 Dataset'!O45</f>
        <v>239.99999999999989</v>
      </c>
      <c r="AA45" s="165">
        <f>AA$76*'TABLE 4 - October 2016 Dataset'!P45</f>
        <v>12399.999999999991</v>
      </c>
      <c r="AB45" s="162">
        <f t="shared" si="11"/>
        <v>51656.799999999996</v>
      </c>
      <c r="AC45" s="140">
        <f>AC$76*'TABLE 4 - October 2016 Dataset'!Q45</f>
        <v>47672.148837209279</v>
      </c>
      <c r="AD45" s="140">
        <f>AD$76*'TABLE 4 - October 2016 Dataset'!R45</f>
        <v>4383.68</v>
      </c>
      <c r="AE45" s="140">
        <f>AE$76*'TABLE 4 - October 2016 Dataset'!S45</f>
        <v>0</v>
      </c>
      <c r="AF45" s="140">
        <f t="shared" si="12"/>
        <v>110000</v>
      </c>
      <c r="AG45" s="140">
        <f>IF('TABLE 4 - October 2016 Dataset'!X45="No",0,"*CHECK*")</f>
        <v>0</v>
      </c>
      <c r="AH45" s="140">
        <f>'TABLE 4 - October 2016 Dataset'!Y45</f>
        <v>23640</v>
      </c>
      <c r="AI45" s="140">
        <f>IF('TABLE 4 - October 2016 Dataset'!Z45&gt;0,('TABLE 4 - October 2016 Dataset'!Z45*(1+'TABLE 1 - 2018-19 Provisional'!AI$79)*(1+AI$79))-((AI$76*SUM('TABLE 4 - October 2016 Dataset'!F45:H45))+AI$77),0)</f>
        <v>181044.910875</v>
      </c>
      <c r="AJ45" s="166" t="str">
        <f>IF('TABLE 4 - October 2016 Dataset'!AA45="Yes",'TABLE 2 - 2019-20 Illustrative'!AJ$76*SUM('TABLE 4 - October 2016 Dataset'!F45:H45),"")</f>
        <v/>
      </c>
      <c r="AK45" s="140">
        <f t="shared" si="13"/>
        <v>0</v>
      </c>
      <c r="AL45" s="94">
        <f t="shared" si="14"/>
        <v>835940.01971220924</v>
      </c>
      <c r="AM45" s="103"/>
      <c r="AN45" s="80">
        <f t="shared" si="2"/>
        <v>631255.10883720918</v>
      </c>
      <c r="AO45" s="165">
        <f>AN45/SUM('TABLE 4 - October 2016 Dataset'!F45:H45)</f>
        <v>4152.9941370869028</v>
      </c>
      <c r="AP45" s="165">
        <f t="shared" si="3"/>
        <v>0</v>
      </c>
      <c r="AQ45" s="165">
        <f>AP45*SUM('TABLE 4 - October 2016 Dataset'!F45:H45)</f>
        <v>0</v>
      </c>
      <c r="AR45" s="94">
        <f t="shared" si="15"/>
        <v>835940.01971220924</v>
      </c>
      <c r="AS45" s="103"/>
      <c r="AT45" s="80">
        <f>N45-(AF45+AG45+'TABLE 4 - October 2016 Dataset'!Y45)</f>
        <v>653389.21227171412</v>
      </c>
      <c r="AU45" s="187">
        <f t="shared" si="16"/>
        <v>702300.01971220924</v>
      </c>
      <c r="AV45" s="165">
        <f t="shared" si="17"/>
        <v>4298.6132386296986</v>
      </c>
      <c r="AW45" s="165">
        <f>AU45/SUM('TABLE 4 - October 2016 Dataset'!F45:H45)</f>
        <v>4620.3948665276921</v>
      </c>
      <c r="AX45" s="173">
        <f t="shared" si="18"/>
        <v>7.4857078326165061E-2</v>
      </c>
      <c r="AY45" s="173">
        <f t="shared" si="19"/>
        <v>0</v>
      </c>
      <c r="AZ45" s="175">
        <f t="shared" si="20"/>
        <v>0</v>
      </c>
      <c r="BA45" s="165">
        <f t="shared" si="21"/>
        <v>0</v>
      </c>
      <c r="BB45" s="94">
        <f t="shared" si="22"/>
        <v>835940.01971220924</v>
      </c>
      <c r="BC45" s="103"/>
      <c r="BD45" s="184">
        <f>'TABLE 1 - 2018-19 Provisional'!BR45-('TABLE 2 - 2019-20 Illustrative'!AF45+'TABLE 2 - 2019-20 Illustrative'!AG45+'TABLE 1 - 2018-19 Provisional'!AH45)</f>
        <v>672990.88863986556</v>
      </c>
      <c r="BE45" s="165">
        <f>BD45/SUM('TABLE 4 - October 2016 Dataset'!F45:H45)</f>
        <v>4427.5716357885894</v>
      </c>
      <c r="BF45" s="173">
        <f t="shared" si="23"/>
        <v>3.0000000000000027E-2</v>
      </c>
      <c r="BG45" s="173">
        <f t="shared" si="24"/>
        <v>4.3550561481713768E-2</v>
      </c>
      <c r="BH45" s="173">
        <f>'TABLE 1 - 2018-19 Provisional'!BF45</f>
        <v>7.4857078326165061E-2</v>
      </c>
      <c r="BI45" s="185">
        <f t="shared" si="34"/>
        <v>8.7101122963427532E-3</v>
      </c>
      <c r="BJ45" s="185">
        <f t="shared" si="5"/>
        <v>0.03</v>
      </c>
      <c r="BK45" s="173">
        <f t="shared" si="35"/>
        <v>-1.3550561481713769E-2</v>
      </c>
      <c r="BL45" s="175">
        <f t="shared" si="36"/>
        <v>-59.996081665445281</v>
      </c>
      <c r="BM45" s="165">
        <f>BL45*SUM('TABLE 4 - October 2016 Dataset'!F45:H45)</f>
        <v>-9119.4044131476821</v>
      </c>
      <c r="BN45" s="94">
        <f t="shared" si="37"/>
        <v>826820.61529906152</v>
      </c>
      <c r="BO45" s="103"/>
      <c r="BP45" s="179">
        <f t="shared" si="38"/>
        <v>622135.70442406158</v>
      </c>
      <c r="BQ45" s="175">
        <f>BP45/SUM('TABLE 4 - October 2016 Dataset'!F45:H45)</f>
        <v>4092.9980554214576</v>
      </c>
      <c r="BR45" s="175">
        <f t="shared" si="25"/>
        <v>0</v>
      </c>
      <c r="BS45" s="175">
        <f>BR45*SUM('TABLE 4 - October 2016 Dataset'!F45:H45)</f>
        <v>0</v>
      </c>
      <c r="BT45" s="94">
        <f t="shared" si="26"/>
        <v>826820.61529906152</v>
      </c>
      <c r="BU45" s="103"/>
      <c r="BV45" s="80">
        <f t="shared" si="27"/>
        <v>787029.21227171412</v>
      </c>
      <c r="BW45" s="122">
        <f t="shared" si="28"/>
        <v>5177.8237649454877</v>
      </c>
      <c r="BX45" s="264">
        <f t="shared" si="29"/>
        <v>826820.61529906152</v>
      </c>
      <c r="BY45" s="81">
        <f>BX45/SUM('TABLE 4 - October 2016 Dataset'!F45:H45)</f>
        <v>5439.6093111780365</v>
      </c>
      <c r="BZ45" s="264">
        <f t="shared" si="30"/>
        <v>39791.403027347405</v>
      </c>
      <c r="CA45" s="81">
        <f t="shared" si="31"/>
        <v>261.78554623254877</v>
      </c>
      <c r="CB45" s="269">
        <f t="shared" si="32"/>
        <v>5.0558991212653767E-2</v>
      </c>
      <c r="CC45" s="103"/>
      <c r="CD45" s="80">
        <f>'TABLE 5 - DfE Published Figures'!O44</f>
        <v>830000</v>
      </c>
      <c r="CE45" s="84">
        <f t="shared" si="33"/>
        <v>-3000</v>
      </c>
      <c r="CF45" s="81"/>
      <c r="CG45" s="81"/>
      <c r="CH45" s="81"/>
      <c r="CI45" s="81"/>
      <c r="CJ45" s="2"/>
    </row>
    <row r="46" spans="2:88" ht="15.75">
      <c r="B46" s="198">
        <v>3402</v>
      </c>
      <c r="C46" s="60" t="s">
        <v>53</v>
      </c>
      <c r="D46" s="204"/>
      <c r="F46" s="80">
        <v>174</v>
      </c>
      <c r="G46" s="163"/>
      <c r="H46" s="164">
        <v>-3</v>
      </c>
      <c r="I46" s="94">
        <f t="shared" si="0"/>
        <v>171</v>
      </c>
      <c r="J46" s="103"/>
      <c r="K46" s="80">
        <v>697155.02592300856</v>
      </c>
      <c r="L46" s="163"/>
      <c r="M46" s="163"/>
      <c r="N46" s="94">
        <f t="shared" si="1"/>
        <v>697155.02592300856</v>
      </c>
      <c r="O46" s="103"/>
      <c r="P46" s="80">
        <f>P$76*'TABLE 4 - October 2016 Dataset'!F46</f>
        <v>469735.29</v>
      </c>
      <c r="Q46" s="160"/>
      <c r="R46" s="161"/>
      <c r="S46" s="162">
        <f t="shared" si="10"/>
        <v>469735.29</v>
      </c>
      <c r="T46" s="165">
        <f>T$76*'TABLE 4 - October 2016 Dataset'!I46</f>
        <v>4840.0000000000027</v>
      </c>
      <c r="U46" s="165">
        <f>U$76*'TABLE 4 - October 2016 Dataset'!J46</f>
        <v>17855.801104972375</v>
      </c>
      <c r="V46" s="165">
        <f>V$76*'TABLE 4 - October 2016 Dataset'!K46</f>
        <v>0</v>
      </c>
      <c r="W46" s="165">
        <f>W$76*'TABLE 4 - October 2016 Dataset'!L46</f>
        <v>1730.6024096385559</v>
      </c>
      <c r="X46" s="165">
        <f>X$76*'TABLE 4 - October 2016 Dataset'!M46</f>
        <v>4820.9638554216845</v>
      </c>
      <c r="Y46" s="165">
        <f>Y$76*'TABLE 4 - October 2016 Dataset'!N46</f>
        <v>370.84337349397595</v>
      </c>
      <c r="Z46" s="165">
        <f>Z$76*'TABLE 4 - October 2016 Dataset'!O46</f>
        <v>1977.8313253012068</v>
      </c>
      <c r="AA46" s="165">
        <f>AA$76*'TABLE 4 - October 2016 Dataset'!P46</f>
        <v>2678.3132530120483</v>
      </c>
      <c r="AB46" s="162">
        <f t="shared" si="11"/>
        <v>34274.355321839845</v>
      </c>
      <c r="AC46" s="140">
        <f>AC$76*'TABLE 4 - October 2016 Dataset'!Q46</f>
        <v>62916.556291390792</v>
      </c>
      <c r="AD46" s="140">
        <f>AD$76*'TABLE 4 - October 2016 Dataset'!R46</f>
        <v>19245.993377483454</v>
      </c>
      <c r="AE46" s="140">
        <f>AE$76*'TABLE 4 - October 2016 Dataset'!S46</f>
        <v>4905.8999999999451</v>
      </c>
      <c r="AF46" s="140">
        <f t="shared" si="12"/>
        <v>110000</v>
      </c>
      <c r="AG46" s="140">
        <f>IF('TABLE 4 - October 2016 Dataset'!X46="No",0,"*CHECK*")</f>
        <v>0</v>
      </c>
      <c r="AH46" s="140">
        <f>'TABLE 4 - October 2016 Dataset'!Y46</f>
        <v>2871.58</v>
      </c>
      <c r="AI46" s="170">
        <f>IF('TABLE 4 - October 2016 Dataset'!Z46&gt;0,('TABLE 4 - October 2016 Dataset'!Z46*(1+'TABLE 1 - 2018-19 Provisional'!AI$79)*(1+AI$79))-((AI$76*SUM('TABLE 4 - October 2016 Dataset'!F46:H46))+AI$77),0)</f>
        <v>0</v>
      </c>
      <c r="AJ46" s="166" t="str">
        <f>IF('TABLE 4 - October 2016 Dataset'!AA46="Yes",'TABLE 2 - 2019-20 Illustrative'!AJ$76*SUM('TABLE 4 - October 2016 Dataset'!F46:H46),"")</f>
        <v/>
      </c>
      <c r="AK46" s="140">
        <f t="shared" si="13"/>
        <v>0</v>
      </c>
      <c r="AL46" s="94">
        <f t="shared" si="14"/>
        <v>703949.67499071395</v>
      </c>
      <c r="AM46" s="103"/>
      <c r="AN46" s="80">
        <f t="shared" si="2"/>
        <v>701078.09499071399</v>
      </c>
      <c r="AO46" s="165">
        <f>AN46/SUM('TABLE 4 - October 2016 Dataset'!F46:H46)</f>
        <v>4099.8719005304911</v>
      </c>
      <c r="AP46" s="165">
        <f t="shared" si="3"/>
        <v>0</v>
      </c>
      <c r="AQ46" s="165">
        <f>AP46*SUM('TABLE 4 - October 2016 Dataset'!F46:H46)</f>
        <v>0</v>
      </c>
      <c r="AR46" s="94">
        <f t="shared" si="15"/>
        <v>703949.67499071395</v>
      </c>
      <c r="AS46" s="103"/>
      <c r="AT46" s="80">
        <f>N46-(AF46+AG46+'TABLE 4 - October 2016 Dataset'!Y46)</f>
        <v>584283.44592300861</v>
      </c>
      <c r="AU46" s="187">
        <f t="shared" si="16"/>
        <v>591078.09499071399</v>
      </c>
      <c r="AV46" s="165">
        <f t="shared" si="17"/>
        <v>3416.8622568596993</v>
      </c>
      <c r="AW46" s="165">
        <f>AU46/SUM('TABLE 4 - October 2016 Dataset'!F46:H46)</f>
        <v>3456.5970467293214</v>
      </c>
      <c r="AX46" s="173">
        <f t="shared" si="18"/>
        <v>1.1629028881644299E-2</v>
      </c>
      <c r="AY46" s="173">
        <f t="shared" si="19"/>
        <v>0</v>
      </c>
      <c r="AZ46" s="175">
        <f t="shared" si="20"/>
        <v>0</v>
      </c>
      <c r="BA46" s="165">
        <f t="shared" si="21"/>
        <v>0</v>
      </c>
      <c r="BB46" s="94">
        <f t="shared" si="22"/>
        <v>703949.67499071395</v>
      </c>
      <c r="BC46" s="103"/>
      <c r="BD46" s="184">
        <f>'TABLE 1 - 2018-19 Provisional'!BR46-('TABLE 2 - 2019-20 Illustrative'!AF46+'TABLE 2 - 2019-20 Illustrative'!AG46+'TABLE 1 - 2018-19 Provisional'!AH46)</f>
        <v>591078.09499071399</v>
      </c>
      <c r="BE46" s="165">
        <f>BD46/SUM('TABLE 4 - October 2016 Dataset'!F46:H46)</f>
        <v>3456.5970467293214</v>
      </c>
      <c r="BF46" s="173">
        <f t="shared" si="23"/>
        <v>1.1629028881644299E-2</v>
      </c>
      <c r="BG46" s="173">
        <f t="shared" si="24"/>
        <v>0</v>
      </c>
      <c r="BH46" s="173">
        <f>'TABLE 1 - 2018-19 Provisional'!BF46</f>
        <v>1.1629028881644299E-2</v>
      </c>
      <c r="BI46" s="185">
        <f t="shared" si="34"/>
        <v>0</v>
      </c>
      <c r="BJ46" s="185">
        <f t="shared" si="5"/>
        <v>0</v>
      </c>
      <c r="BK46" s="173">
        <f t="shared" si="35"/>
        <v>0</v>
      </c>
      <c r="BL46" s="175">
        <f t="shared" si="36"/>
        <v>0</v>
      </c>
      <c r="BM46" s="165">
        <f>BL46*SUM('TABLE 4 - October 2016 Dataset'!F46:H46)</f>
        <v>0</v>
      </c>
      <c r="BN46" s="94">
        <f t="shared" si="37"/>
        <v>703949.67499071395</v>
      </c>
      <c r="BO46" s="103"/>
      <c r="BP46" s="179">
        <f t="shared" si="38"/>
        <v>701078.09499071399</v>
      </c>
      <c r="BQ46" s="175">
        <f>BP46/SUM('TABLE 4 - October 2016 Dataset'!F46:H46)</f>
        <v>4099.8719005304911</v>
      </c>
      <c r="BR46" s="175">
        <f t="shared" si="25"/>
        <v>0</v>
      </c>
      <c r="BS46" s="175">
        <f>BR46*SUM('TABLE 4 - October 2016 Dataset'!F46:H46)</f>
        <v>0</v>
      </c>
      <c r="BT46" s="94">
        <f t="shared" si="26"/>
        <v>703949.67499071395</v>
      </c>
      <c r="BU46" s="103"/>
      <c r="BV46" s="80">
        <f t="shared" si="27"/>
        <v>697155.02592300856</v>
      </c>
      <c r="BW46" s="122">
        <f t="shared" si="28"/>
        <v>4076.929976157945</v>
      </c>
      <c r="BX46" s="264">
        <f t="shared" si="29"/>
        <v>703949.67499071395</v>
      </c>
      <c r="BY46" s="81">
        <f>BX46/SUM('TABLE 4 - October 2016 Dataset'!F46:H46)</f>
        <v>4116.6647660275667</v>
      </c>
      <c r="BZ46" s="264">
        <f t="shared" si="30"/>
        <v>6794.6490677053807</v>
      </c>
      <c r="CA46" s="81">
        <f t="shared" si="31"/>
        <v>39.734789869621636</v>
      </c>
      <c r="CB46" s="269">
        <f t="shared" si="32"/>
        <v>9.7462527200595367E-3</v>
      </c>
      <c r="CC46" s="103"/>
      <c r="CD46" s="80">
        <f>'TABLE 5 - DfE Published Figures'!O45</f>
        <v>704000</v>
      </c>
      <c r="CE46" s="84">
        <f t="shared" si="33"/>
        <v>0</v>
      </c>
      <c r="CF46" s="81"/>
      <c r="CG46" s="81"/>
      <c r="CH46" s="81"/>
      <c r="CI46" s="81"/>
      <c r="CJ46" s="2"/>
    </row>
    <row r="47" spans="2:88" ht="15.75">
      <c r="B47" s="198">
        <v>3305</v>
      </c>
      <c r="C47" s="60" t="s">
        <v>67</v>
      </c>
      <c r="D47" s="204"/>
      <c r="F47" s="80">
        <v>195</v>
      </c>
      <c r="G47" s="163"/>
      <c r="H47" s="164">
        <v>-1</v>
      </c>
      <c r="I47" s="94">
        <f t="shared" si="0"/>
        <v>194</v>
      </c>
      <c r="J47" s="103"/>
      <c r="K47" s="80">
        <v>799234.35901221819</v>
      </c>
      <c r="L47" s="163"/>
      <c r="M47" s="163"/>
      <c r="N47" s="94">
        <f t="shared" si="1"/>
        <v>799234.35901221819</v>
      </c>
      <c r="O47" s="103"/>
      <c r="P47" s="80">
        <f>P$76*'TABLE 4 - October 2016 Dataset'!F47</f>
        <v>532916.05999999994</v>
      </c>
      <c r="Q47" s="160"/>
      <c r="R47" s="161"/>
      <c r="S47" s="162">
        <f t="shared" si="10"/>
        <v>532916.05999999994</v>
      </c>
      <c r="T47" s="165">
        <f>T$76*'TABLE 4 - October 2016 Dataset'!I47</f>
        <v>17160.000000000036</v>
      </c>
      <c r="U47" s="165">
        <f>U$76*'TABLE 4 - October 2016 Dataset'!J47</f>
        <v>44897.142857142855</v>
      </c>
      <c r="V47" s="165">
        <f>V$76*'TABLE 4 - October 2016 Dataset'!K47</f>
        <v>0</v>
      </c>
      <c r="W47" s="165">
        <f>W$76*'TABLE 4 - October 2016 Dataset'!L47</f>
        <v>22260.000000000015</v>
      </c>
      <c r="X47" s="165">
        <f>X$76*'TABLE 4 - October 2016 Dataset'!M47</f>
        <v>7020.0000000000027</v>
      </c>
      <c r="Y47" s="165">
        <f>Y$76*'TABLE 4 - October 2016 Dataset'!N47</f>
        <v>0</v>
      </c>
      <c r="Z47" s="165">
        <f>Z$76*'TABLE 4 - October 2016 Dataset'!O47</f>
        <v>0</v>
      </c>
      <c r="AA47" s="165">
        <f>AA$76*'TABLE 4 - October 2016 Dataset'!P47</f>
        <v>5599.9999999999818</v>
      </c>
      <c r="AB47" s="162">
        <f t="shared" si="11"/>
        <v>96937.142857142884</v>
      </c>
      <c r="AC47" s="140">
        <f>AC$76*'TABLE 4 - October 2016 Dataset'!Q47</f>
        <v>91350.789653082829</v>
      </c>
      <c r="AD47" s="140">
        <f>AD$76*'TABLE 4 - October 2016 Dataset'!R47</f>
        <v>12793.353658536598</v>
      </c>
      <c r="AE47" s="140">
        <f>AE$76*'TABLE 4 - October 2016 Dataset'!S47</f>
        <v>1137.5999999999481</v>
      </c>
      <c r="AF47" s="140">
        <f t="shared" si="12"/>
        <v>110000</v>
      </c>
      <c r="AG47" s="140">
        <f>IF('TABLE 4 - October 2016 Dataset'!X47="No",0,"*CHECK*")</f>
        <v>0</v>
      </c>
      <c r="AH47" s="140">
        <f>'TABLE 4 - October 2016 Dataset'!Y47</f>
        <v>4604.8900000000003</v>
      </c>
      <c r="AI47" s="170">
        <f>IF('TABLE 4 - October 2016 Dataset'!Z47&gt;0,('TABLE 4 - October 2016 Dataset'!Z47*(1+'TABLE 1 - 2018-19 Provisional'!AI$79)*(1+AI$79))-((AI$76*SUM('TABLE 4 - October 2016 Dataset'!F47:H47))+AI$77),0)</f>
        <v>0</v>
      </c>
      <c r="AJ47" s="166" t="str">
        <f>IF('TABLE 4 - October 2016 Dataset'!AA47="Yes",'TABLE 2 - 2019-20 Illustrative'!AJ$76*SUM('TABLE 4 - October 2016 Dataset'!F47:H47),"")</f>
        <v/>
      </c>
      <c r="AK47" s="140">
        <f t="shared" si="13"/>
        <v>0</v>
      </c>
      <c r="AL47" s="94">
        <f t="shared" si="14"/>
        <v>849739.83616876218</v>
      </c>
      <c r="AM47" s="103"/>
      <c r="AN47" s="80">
        <f t="shared" si="2"/>
        <v>845134.94616876217</v>
      </c>
      <c r="AO47" s="165">
        <f>AN47/SUM('TABLE 4 - October 2016 Dataset'!F47:H47)</f>
        <v>4356.365701900836</v>
      </c>
      <c r="AP47" s="165">
        <f t="shared" si="3"/>
        <v>0</v>
      </c>
      <c r="AQ47" s="165">
        <f>AP47*SUM('TABLE 4 - October 2016 Dataset'!F47:H47)</f>
        <v>0</v>
      </c>
      <c r="AR47" s="94">
        <f t="shared" si="15"/>
        <v>849739.83616876218</v>
      </c>
      <c r="AS47" s="103"/>
      <c r="AT47" s="80">
        <f>N47-(AF47+AG47+'TABLE 4 - October 2016 Dataset'!Y47)</f>
        <v>684629.46901221818</v>
      </c>
      <c r="AU47" s="187">
        <f t="shared" si="16"/>
        <v>735134.94616876217</v>
      </c>
      <c r="AV47" s="165">
        <f t="shared" si="17"/>
        <v>3529.0178815062791</v>
      </c>
      <c r="AW47" s="165">
        <f>AU47/SUM('TABLE 4 - October 2016 Dataset'!F47:H47)</f>
        <v>3789.3553926224854</v>
      </c>
      <c r="AX47" s="173">
        <f t="shared" si="18"/>
        <v>7.3770527624837934E-2</v>
      </c>
      <c r="AY47" s="173">
        <f t="shared" si="19"/>
        <v>0</v>
      </c>
      <c r="AZ47" s="175">
        <f t="shared" si="20"/>
        <v>0</v>
      </c>
      <c r="BA47" s="165">
        <f t="shared" si="21"/>
        <v>0</v>
      </c>
      <c r="BB47" s="94">
        <f t="shared" si="22"/>
        <v>849739.83616876218</v>
      </c>
      <c r="BC47" s="103"/>
      <c r="BD47" s="184">
        <f>'TABLE 1 - 2018-19 Provisional'!BR47-('TABLE 2 - 2019-20 Illustrative'!AF47+'TABLE 2 - 2019-20 Illustrative'!AG47+'TABLE 1 - 2018-19 Provisional'!AH47)</f>
        <v>705168.3530825848</v>
      </c>
      <c r="BE47" s="165">
        <f>BD47/SUM('TABLE 4 - October 2016 Dataset'!F47:H47)</f>
        <v>3634.888417951468</v>
      </c>
      <c r="BF47" s="173">
        <f t="shared" si="23"/>
        <v>3.0000000000000249E-2</v>
      </c>
      <c r="BG47" s="173">
        <f t="shared" si="24"/>
        <v>4.2495657888192095E-2</v>
      </c>
      <c r="BH47" s="173">
        <f>'TABLE 1 - 2018-19 Provisional'!BF47</f>
        <v>7.3770527624837934E-2</v>
      </c>
      <c r="BI47" s="185">
        <f t="shared" si="34"/>
        <v>8.4991315776384198E-3</v>
      </c>
      <c r="BJ47" s="185">
        <f t="shared" si="5"/>
        <v>0.03</v>
      </c>
      <c r="BK47" s="173">
        <f t="shared" si="35"/>
        <v>-1.2495657888192097E-2</v>
      </c>
      <c r="BL47" s="175">
        <f t="shared" si="36"/>
        <v>-45.420322132473352</v>
      </c>
      <c r="BM47" s="165">
        <f>BL47*SUM('TABLE 4 - October 2016 Dataset'!F47:H47)</f>
        <v>-8811.5424936998297</v>
      </c>
      <c r="BN47" s="94">
        <f t="shared" si="37"/>
        <v>840928.29367506236</v>
      </c>
      <c r="BO47" s="103"/>
      <c r="BP47" s="179">
        <f t="shared" si="38"/>
        <v>836323.40367506235</v>
      </c>
      <c r="BQ47" s="175">
        <f>BP47/SUM('TABLE 4 - October 2016 Dataset'!F47:H47)</f>
        <v>4310.9453797683627</v>
      </c>
      <c r="BR47" s="175">
        <f t="shared" si="25"/>
        <v>0</v>
      </c>
      <c r="BS47" s="175">
        <f>BR47*SUM('TABLE 4 - October 2016 Dataset'!F47:H47)</f>
        <v>0</v>
      </c>
      <c r="BT47" s="94">
        <f t="shared" si="26"/>
        <v>840928.29367506236</v>
      </c>
      <c r="BU47" s="103"/>
      <c r="BV47" s="80">
        <f t="shared" si="27"/>
        <v>799234.35901221819</v>
      </c>
      <c r="BW47" s="122">
        <f t="shared" si="28"/>
        <v>4119.7647371763824</v>
      </c>
      <c r="BX47" s="264">
        <f t="shared" si="29"/>
        <v>840928.29367506236</v>
      </c>
      <c r="BY47" s="81">
        <f>BX47/SUM('TABLE 4 - October 2016 Dataset'!F47:H47)</f>
        <v>4334.6819261601149</v>
      </c>
      <c r="BZ47" s="264">
        <f t="shared" si="30"/>
        <v>41693.934662844171</v>
      </c>
      <c r="CA47" s="81">
        <f t="shared" si="31"/>
        <v>214.91718898373256</v>
      </c>
      <c r="CB47" s="269">
        <f t="shared" si="32"/>
        <v>5.2167345150644015E-2</v>
      </c>
      <c r="CC47" s="103"/>
      <c r="CD47" s="80">
        <f>'TABLE 5 - DfE Published Figures'!O46</f>
        <v>836000</v>
      </c>
      <c r="CE47" s="84">
        <f t="shared" si="33"/>
        <v>5000</v>
      </c>
      <c r="CF47" s="81"/>
      <c r="CG47" s="81"/>
      <c r="CH47" s="81"/>
      <c r="CI47" s="81"/>
      <c r="CJ47" s="2"/>
    </row>
    <row r="48" spans="2:88" ht="15.75">
      <c r="B48" s="198">
        <v>3222</v>
      </c>
      <c r="C48" s="60" t="s">
        <v>54</v>
      </c>
      <c r="D48" s="204"/>
      <c r="F48" s="80">
        <v>119</v>
      </c>
      <c r="G48" s="163"/>
      <c r="H48" s="164">
        <v>0</v>
      </c>
      <c r="I48" s="94">
        <f t="shared" si="0"/>
        <v>119</v>
      </c>
      <c r="J48" s="103"/>
      <c r="K48" s="80">
        <v>469448.13846046349</v>
      </c>
      <c r="L48" s="163"/>
      <c r="M48" s="163"/>
      <c r="N48" s="94">
        <f t="shared" si="1"/>
        <v>469448.13846046349</v>
      </c>
      <c r="O48" s="103"/>
      <c r="P48" s="80">
        <f>P$76*'TABLE 4 - October 2016 Dataset'!F48</f>
        <v>326891.81</v>
      </c>
      <c r="Q48" s="160"/>
      <c r="R48" s="161"/>
      <c r="S48" s="162">
        <f t="shared" si="10"/>
        <v>326891.81</v>
      </c>
      <c r="T48" s="165">
        <f>T$76*'TABLE 4 - October 2016 Dataset'!I48</f>
        <v>439.99999999999972</v>
      </c>
      <c r="U48" s="165">
        <f>U$76*'TABLE 4 - October 2016 Dataset'!J48</f>
        <v>2894.5945945945946</v>
      </c>
      <c r="V48" s="165">
        <f>V$76*'TABLE 4 - October 2016 Dataset'!K48</f>
        <v>0</v>
      </c>
      <c r="W48" s="165">
        <f>W$76*'TABLE 4 - October 2016 Dataset'!L48</f>
        <v>0</v>
      </c>
      <c r="X48" s="165">
        <f>X$76*'TABLE 4 - October 2016 Dataset'!M48</f>
        <v>0</v>
      </c>
      <c r="Y48" s="165">
        <f>Y$76*'TABLE 4 - October 2016 Dataset'!N48</f>
        <v>0</v>
      </c>
      <c r="Z48" s="165">
        <f>Z$76*'TABLE 4 - October 2016 Dataset'!O48</f>
        <v>0</v>
      </c>
      <c r="AA48" s="165">
        <f>AA$76*'TABLE 4 - October 2016 Dataset'!P48</f>
        <v>403.38983050847503</v>
      </c>
      <c r="AB48" s="162">
        <f t="shared" si="11"/>
        <v>3737.984425103069</v>
      </c>
      <c r="AC48" s="140">
        <f>AC$76*'TABLE 4 - October 2016 Dataset'!Q48</f>
        <v>32920.1149425287</v>
      </c>
      <c r="AD48" s="140">
        <f>AD$76*'TABLE 4 - October 2016 Dataset'!R48</f>
        <v>0</v>
      </c>
      <c r="AE48" s="140">
        <f>AE$76*'TABLE 4 - October 2016 Dataset'!S48</f>
        <v>0</v>
      </c>
      <c r="AF48" s="140">
        <f t="shared" si="12"/>
        <v>110000</v>
      </c>
      <c r="AG48" s="140">
        <f>IF('TABLE 4 - October 2016 Dataset'!X48="No",0,"*CHECK*")</f>
        <v>0</v>
      </c>
      <c r="AH48" s="140">
        <f>'TABLE 4 - October 2016 Dataset'!Y48</f>
        <v>8585.51</v>
      </c>
      <c r="AI48" s="170">
        <f>IF('TABLE 4 - October 2016 Dataset'!Z48&gt;0,('TABLE 4 - October 2016 Dataset'!Z48*(1+'TABLE 1 - 2018-19 Provisional'!AI$79)*(1+AI$79))-((AI$76*SUM('TABLE 4 - October 2016 Dataset'!F48:H48))+AI$77),0)</f>
        <v>0</v>
      </c>
      <c r="AJ48" s="166" t="str">
        <f>IF('TABLE 4 - October 2016 Dataset'!AA48="Yes",'TABLE 2 - 2019-20 Illustrative'!AJ$76*SUM('TABLE 4 - October 2016 Dataset'!F48:H48),"")</f>
        <v/>
      </c>
      <c r="AK48" s="140">
        <f t="shared" si="13"/>
        <v>0</v>
      </c>
      <c r="AL48" s="94">
        <f t="shared" si="14"/>
        <v>482135.41936763178</v>
      </c>
      <c r="AM48" s="103"/>
      <c r="AN48" s="80">
        <f t="shared" si="2"/>
        <v>473549.90936763177</v>
      </c>
      <c r="AO48" s="165">
        <f>AN48/SUM('TABLE 4 - October 2016 Dataset'!F48:H48)</f>
        <v>3979.4110030893426</v>
      </c>
      <c r="AP48" s="165">
        <f t="shared" si="3"/>
        <v>0</v>
      </c>
      <c r="AQ48" s="165">
        <f>AP48*SUM('TABLE 4 - October 2016 Dataset'!F48:H48)</f>
        <v>0</v>
      </c>
      <c r="AR48" s="94">
        <f t="shared" si="15"/>
        <v>482135.41936763178</v>
      </c>
      <c r="AS48" s="103"/>
      <c r="AT48" s="80">
        <f>N48-(AF48+AG48+'TABLE 4 - October 2016 Dataset'!Y48)</f>
        <v>350862.62846046349</v>
      </c>
      <c r="AU48" s="187">
        <f t="shared" si="16"/>
        <v>363549.90936763177</v>
      </c>
      <c r="AV48" s="165">
        <f t="shared" si="17"/>
        <v>2948.4254492475925</v>
      </c>
      <c r="AW48" s="165">
        <f>AU48/SUM('TABLE 4 - October 2016 Dataset'!F48:H48)</f>
        <v>3055.0412551901832</v>
      </c>
      <c r="AX48" s="173">
        <f t="shared" si="18"/>
        <v>3.6160251557249889E-2</v>
      </c>
      <c r="AY48" s="173">
        <f t="shared" si="19"/>
        <v>0</v>
      </c>
      <c r="AZ48" s="175">
        <f t="shared" si="20"/>
        <v>0</v>
      </c>
      <c r="BA48" s="165">
        <f t="shared" si="21"/>
        <v>0</v>
      </c>
      <c r="BB48" s="94">
        <f t="shared" si="22"/>
        <v>482135.41936763178</v>
      </c>
      <c r="BC48" s="103"/>
      <c r="BD48" s="184">
        <f>'TABLE 1 - 2018-19 Provisional'!BR48-('TABLE 2 - 2019-20 Illustrative'!AF48+'TABLE 2 - 2019-20 Illustrative'!AG48+'TABLE 1 - 2018-19 Provisional'!AH48)</f>
        <v>361388.50731427741</v>
      </c>
      <c r="BE48" s="165">
        <f>BD48/SUM('TABLE 4 - October 2016 Dataset'!F48:H48)</f>
        <v>3036.8782127250201</v>
      </c>
      <c r="BF48" s="173">
        <f t="shared" si="23"/>
        <v>3.0000000000000027E-2</v>
      </c>
      <c r="BG48" s="173">
        <f t="shared" si="24"/>
        <v>5.9808267546117566E-3</v>
      </c>
      <c r="BH48" s="173">
        <f>'TABLE 1 - 2018-19 Provisional'!BF48</f>
        <v>3.6160251557249889E-2</v>
      </c>
      <c r="BI48" s="185">
        <f t="shared" si="34"/>
        <v>1.1961653509223514E-3</v>
      </c>
      <c r="BJ48" s="185">
        <f t="shared" si="5"/>
        <v>5.9808267546117566E-3</v>
      </c>
      <c r="BK48" s="173">
        <f t="shared" si="35"/>
        <v>0</v>
      </c>
      <c r="BL48" s="175">
        <f t="shared" si="36"/>
        <v>0</v>
      </c>
      <c r="BM48" s="165">
        <f>BL48*SUM('TABLE 4 - October 2016 Dataset'!F48:H48)</f>
        <v>0</v>
      </c>
      <c r="BN48" s="94">
        <f t="shared" si="37"/>
        <v>482135.41936763178</v>
      </c>
      <c r="BO48" s="103"/>
      <c r="BP48" s="179">
        <f t="shared" si="38"/>
        <v>473549.90936763177</v>
      </c>
      <c r="BQ48" s="175">
        <f>BP48/SUM('TABLE 4 - October 2016 Dataset'!F48:H48)</f>
        <v>3979.4110030893426</v>
      </c>
      <c r="BR48" s="175">
        <f t="shared" si="25"/>
        <v>0</v>
      </c>
      <c r="BS48" s="175">
        <f>BR48*SUM('TABLE 4 - October 2016 Dataset'!F48:H48)</f>
        <v>0</v>
      </c>
      <c r="BT48" s="94">
        <f t="shared" si="26"/>
        <v>482135.41936763178</v>
      </c>
      <c r="BU48" s="103"/>
      <c r="BV48" s="80">
        <f t="shared" si="27"/>
        <v>469448.13846046349</v>
      </c>
      <c r="BW48" s="122">
        <f t="shared" si="28"/>
        <v>3944.942340003895</v>
      </c>
      <c r="BX48" s="264">
        <f t="shared" si="29"/>
        <v>482135.41936763178</v>
      </c>
      <c r="BY48" s="81">
        <f>BX48/SUM('TABLE 4 - October 2016 Dataset'!F48:H48)</f>
        <v>4051.5581459464856</v>
      </c>
      <c r="BZ48" s="264">
        <f t="shared" si="30"/>
        <v>12687.280907168286</v>
      </c>
      <c r="CA48" s="81">
        <f t="shared" si="31"/>
        <v>106.61580594259067</v>
      </c>
      <c r="CB48" s="269">
        <f t="shared" si="32"/>
        <v>2.7025947847563573E-2</v>
      </c>
      <c r="CC48" s="103"/>
      <c r="CD48" s="80">
        <f>'TABLE 5 - DfE Published Figures'!O47</f>
        <v>482000</v>
      </c>
      <c r="CE48" s="84">
        <f t="shared" si="33"/>
        <v>0</v>
      </c>
      <c r="CF48" s="81"/>
      <c r="CG48" s="81"/>
      <c r="CH48" s="81"/>
      <c r="CI48" s="81"/>
      <c r="CJ48" s="2"/>
    </row>
    <row r="49" spans="2:88" ht="15.75">
      <c r="B49" s="198">
        <v>3156</v>
      </c>
      <c r="C49" s="60" t="s">
        <v>55</v>
      </c>
      <c r="D49" s="204"/>
      <c r="F49" s="80">
        <v>304</v>
      </c>
      <c r="G49" s="108">
        <v>3</v>
      </c>
      <c r="H49" s="164">
        <v>0</v>
      </c>
      <c r="I49" s="94">
        <f t="shared" si="0"/>
        <v>307</v>
      </c>
      <c r="J49" s="103"/>
      <c r="K49" s="80">
        <v>1231351.8399002051</v>
      </c>
      <c r="L49" s="108">
        <v>9440.9354399999993</v>
      </c>
      <c r="M49" s="108">
        <v>50665.35</v>
      </c>
      <c r="N49" s="94">
        <f t="shared" si="1"/>
        <v>1291458.1253402052</v>
      </c>
      <c r="O49" s="103"/>
      <c r="P49" s="80">
        <f>P$76*'TABLE 4 - October 2016 Dataset'!F49</f>
        <v>843325.92999999993</v>
      </c>
      <c r="Q49" s="160"/>
      <c r="R49" s="161"/>
      <c r="S49" s="162">
        <f t="shared" si="10"/>
        <v>843325.92999999993</v>
      </c>
      <c r="T49" s="165">
        <f>T$76*'TABLE 4 - October 2016 Dataset'!I49</f>
        <v>3519.9999999999991</v>
      </c>
      <c r="U49" s="165">
        <f>U$76*'TABLE 4 - October 2016 Dataset'!J49</f>
        <v>17168.155339805828</v>
      </c>
      <c r="V49" s="165">
        <f>V$76*'TABLE 4 - October 2016 Dataset'!K49</f>
        <v>0</v>
      </c>
      <c r="W49" s="165">
        <f>W$76*'TABLE 4 - October 2016 Dataset'!L49</f>
        <v>0</v>
      </c>
      <c r="X49" s="165">
        <f>X$76*'TABLE 4 - October 2016 Dataset'!M49</f>
        <v>787.69736842105237</v>
      </c>
      <c r="Y49" s="165">
        <f>Y$76*'TABLE 4 - October 2016 Dataset'!N49</f>
        <v>0</v>
      </c>
      <c r="Z49" s="165">
        <f>Z$76*'TABLE 4 - October 2016 Dataset'!O49</f>
        <v>0</v>
      </c>
      <c r="AA49" s="165">
        <f>AA$76*'TABLE 4 - October 2016 Dataset'!P49</f>
        <v>605.92105263157907</v>
      </c>
      <c r="AB49" s="162">
        <f t="shared" si="11"/>
        <v>22081.773760858461</v>
      </c>
      <c r="AC49" s="140">
        <f>AC$76*'TABLE 4 - October 2016 Dataset'!Q49</f>
        <v>80901.921119592924</v>
      </c>
      <c r="AD49" s="140">
        <f>AD$76*'TABLE 4 - October 2016 Dataset'!R49</f>
        <v>28362.347328244239</v>
      </c>
      <c r="AE49" s="140">
        <f>AE$76*'TABLE 4 - October 2016 Dataset'!S49</f>
        <v>5901.3000000001075</v>
      </c>
      <c r="AF49" s="140">
        <f t="shared" si="12"/>
        <v>110000</v>
      </c>
      <c r="AG49" s="140">
        <f>IF('TABLE 4 - October 2016 Dataset'!X49="No",0,"*CHECK*")</f>
        <v>0</v>
      </c>
      <c r="AH49" s="140">
        <f>'TABLE 4 - October 2016 Dataset'!Y49</f>
        <v>39120</v>
      </c>
      <c r="AI49" s="140">
        <f>IF('TABLE 4 - October 2016 Dataset'!Z49&gt;0,('TABLE 4 - October 2016 Dataset'!Z49*(1+'TABLE 1 - 2018-19 Provisional'!AI$79)*(1+AI$79))-((AI$76*SUM('TABLE 4 - October 2016 Dataset'!F49:H49))+AI$77),0)</f>
        <v>266415.58439999993</v>
      </c>
      <c r="AJ49" s="166" t="str">
        <f>IF('TABLE 4 - October 2016 Dataset'!AA49="Yes",'TABLE 2 - 2019-20 Illustrative'!AJ$76*SUM('TABLE 4 - October 2016 Dataset'!F49:H49),"")</f>
        <v/>
      </c>
      <c r="AK49" s="140">
        <f t="shared" si="13"/>
        <v>0</v>
      </c>
      <c r="AL49" s="94">
        <f t="shared" si="14"/>
        <v>1396108.8566086958</v>
      </c>
      <c r="AM49" s="103"/>
      <c r="AN49" s="80">
        <f t="shared" si="2"/>
        <v>1090573.2722086958</v>
      </c>
      <c r="AO49" s="165">
        <f>AN49/SUM('TABLE 4 - October 2016 Dataset'!F49:H49)</f>
        <v>3552.3559355332109</v>
      </c>
      <c r="AP49" s="165">
        <f t="shared" si="3"/>
        <v>0</v>
      </c>
      <c r="AQ49" s="165">
        <f>AP49*SUM('TABLE 4 - October 2016 Dataset'!F49:H49)</f>
        <v>0</v>
      </c>
      <c r="AR49" s="94">
        <f t="shared" si="15"/>
        <v>1396108.8566086958</v>
      </c>
      <c r="AS49" s="103"/>
      <c r="AT49" s="80">
        <f>N49-(AF49+AG49+'TABLE 4 - October 2016 Dataset'!Y49)</f>
        <v>1142338.1253402052</v>
      </c>
      <c r="AU49" s="187">
        <f t="shared" si="16"/>
        <v>1246988.8566086958</v>
      </c>
      <c r="AV49" s="165">
        <f t="shared" si="17"/>
        <v>3720.9710923133716</v>
      </c>
      <c r="AW49" s="165">
        <f>AU49/SUM('TABLE 4 - October 2016 Dataset'!F49:H49)</f>
        <v>4061.8529531227878</v>
      </c>
      <c r="AX49" s="173">
        <f t="shared" si="18"/>
        <v>9.1610994106779309E-2</v>
      </c>
      <c r="AY49" s="173">
        <f t="shared" si="19"/>
        <v>0</v>
      </c>
      <c r="AZ49" s="175">
        <f t="shared" si="20"/>
        <v>0</v>
      </c>
      <c r="BA49" s="165">
        <f t="shared" si="21"/>
        <v>0</v>
      </c>
      <c r="BB49" s="94">
        <f t="shared" si="22"/>
        <v>1396108.8566086958</v>
      </c>
      <c r="BC49" s="103"/>
      <c r="BD49" s="184">
        <f>'TABLE 1 - 2018-19 Provisional'!BR49-('TABLE 2 - 2019-20 Illustrative'!AF49+'TABLE 2 - 2019-20 Illustrative'!AG49+'TABLE 1 - 2018-19 Provisional'!AH49)</f>
        <v>1176608.2691004113</v>
      </c>
      <c r="BE49" s="165">
        <f>BD49/SUM('TABLE 4 - October 2016 Dataset'!F49:H49)</f>
        <v>3832.6002250827732</v>
      </c>
      <c r="BF49" s="173">
        <f t="shared" si="23"/>
        <v>3.0000000000000027E-2</v>
      </c>
      <c r="BG49" s="173">
        <f t="shared" si="24"/>
        <v>5.9816499132795187E-2</v>
      </c>
      <c r="BH49" s="173">
        <f>'TABLE 1 - 2018-19 Provisional'!BF49</f>
        <v>9.1610994106779309E-2</v>
      </c>
      <c r="BI49" s="185">
        <f t="shared" si="34"/>
        <v>1.1963299826559038E-2</v>
      </c>
      <c r="BJ49" s="185">
        <f t="shared" si="5"/>
        <v>0.03</v>
      </c>
      <c r="BK49" s="173">
        <f t="shared" si="35"/>
        <v>-2.9816499132795188E-2</v>
      </c>
      <c r="BL49" s="175">
        <f t="shared" si="36"/>
        <v>-114.27472128753115</v>
      </c>
      <c r="BM49" s="165">
        <f>BL49*SUM('TABLE 4 - October 2016 Dataset'!F49:H49)</f>
        <v>-35082.339435272064</v>
      </c>
      <c r="BN49" s="94">
        <f t="shared" si="37"/>
        <v>1361026.5171734237</v>
      </c>
      <c r="BO49" s="103"/>
      <c r="BP49" s="179">
        <f t="shared" si="38"/>
        <v>1055490.9327734238</v>
      </c>
      <c r="BQ49" s="175">
        <f>BP49/SUM('TABLE 4 - October 2016 Dataset'!F49:H49)</f>
        <v>3438.0812142456803</v>
      </c>
      <c r="BR49" s="175">
        <f t="shared" si="25"/>
        <v>61.918785754319742</v>
      </c>
      <c r="BS49" s="175">
        <f>BR49*SUM('TABLE 4 - October 2016 Dataset'!F49:H49)</f>
        <v>19009.06722657616</v>
      </c>
      <c r="BT49" s="94">
        <f t="shared" si="26"/>
        <v>1380035.5843999998</v>
      </c>
      <c r="BU49" s="103"/>
      <c r="BV49" s="80">
        <f t="shared" si="27"/>
        <v>1291458.1253402052</v>
      </c>
      <c r="BW49" s="122">
        <f t="shared" si="28"/>
        <v>4206.7039913361732</v>
      </c>
      <c r="BX49" s="264">
        <f t="shared" si="29"/>
        <v>1380035.5843999998</v>
      </c>
      <c r="BY49" s="81">
        <f>BX49/SUM('TABLE 4 - October 2016 Dataset'!F49:H49)</f>
        <v>4495.2299166123776</v>
      </c>
      <c r="BZ49" s="264">
        <f t="shared" si="30"/>
        <v>88577.459059794666</v>
      </c>
      <c r="CA49" s="81">
        <f t="shared" si="31"/>
        <v>288.52592527620436</v>
      </c>
      <c r="CB49" s="269">
        <f t="shared" si="32"/>
        <v>6.8587170827905108E-2</v>
      </c>
      <c r="CC49" s="103"/>
      <c r="CD49" s="80">
        <f>'TABLE 5 - DfE Published Figures'!O48</f>
        <v>1440000</v>
      </c>
      <c r="CE49" s="84">
        <f t="shared" si="33"/>
        <v>-60000</v>
      </c>
      <c r="CF49" s="81"/>
      <c r="CG49" s="81"/>
      <c r="CH49" s="81"/>
      <c r="CI49" s="81"/>
      <c r="CJ49" s="2"/>
    </row>
    <row r="50" spans="2:88" ht="15.75">
      <c r="B50" s="198">
        <v>3003</v>
      </c>
      <c r="C50" s="60" t="s">
        <v>56</v>
      </c>
      <c r="D50" s="204"/>
      <c r="F50" s="80">
        <v>173</v>
      </c>
      <c r="G50" s="163"/>
      <c r="H50" s="164">
        <v>-1</v>
      </c>
      <c r="I50" s="94">
        <f t="shared" si="0"/>
        <v>172</v>
      </c>
      <c r="J50" s="103"/>
      <c r="K50" s="80">
        <v>622869.73355978576</v>
      </c>
      <c r="L50" s="163"/>
      <c r="M50" s="163"/>
      <c r="N50" s="94">
        <f t="shared" si="1"/>
        <v>622869.73355978576</v>
      </c>
      <c r="O50" s="103"/>
      <c r="P50" s="80">
        <f>P$76*'TABLE 4 - October 2016 Dataset'!F50</f>
        <v>472482.27999999997</v>
      </c>
      <c r="Q50" s="160"/>
      <c r="R50" s="161"/>
      <c r="S50" s="162">
        <f t="shared" si="10"/>
        <v>472482.27999999997</v>
      </c>
      <c r="T50" s="165">
        <f>T$76*'TABLE 4 - October 2016 Dataset'!I50</f>
        <v>4399.9999999999973</v>
      </c>
      <c r="U50" s="165">
        <f>U$76*'TABLE 4 - October 2016 Dataset'!J50</f>
        <v>10800</v>
      </c>
      <c r="V50" s="165">
        <f>V$76*'TABLE 4 - October 2016 Dataset'!K50</f>
        <v>0</v>
      </c>
      <c r="W50" s="165">
        <f>W$76*'TABLE 4 - October 2016 Dataset'!L50</f>
        <v>0</v>
      </c>
      <c r="X50" s="165">
        <f>X$76*'TABLE 4 - October 2016 Dataset'!M50</f>
        <v>784.56140350876933</v>
      </c>
      <c r="Y50" s="165">
        <f>Y$76*'TABLE 4 - October 2016 Dataset'!N50</f>
        <v>724.21052631578709</v>
      </c>
      <c r="Z50" s="165">
        <f>Z$76*'TABLE 4 - October 2016 Dataset'!O50</f>
        <v>2896.8421052631566</v>
      </c>
      <c r="AA50" s="165">
        <f>AA$76*'TABLE 4 - October 2016 Dataset'!P50</f>
        <v>804.67836257310023</v>
      </c>
      <c r="AB50" s="162">
        <f t="shared" si="11"/>
        <v>20410.292397660811</v>
      </c>
      <c r="AC50" s="140">
        <f>AC$76*'TABLE 4 - October 2016 Dataset'!Q50</f>
        <v>45026.724975704572</v>
      </c>
      <c r="AD50" s="140">
        <f>AD$76*'TABLE 4 - October 2016 Dataset'!R50</f>
        <v>6025.8503401360513</v>
      </c>
      <c r="AE50" s="140">
        <f>AE$76*'TABLE 4 - October 2016 Dataset'!S50</f>
        <v>0</v>
      </c>
      <c r="AF50" s="140">
        <f t="shared" si="12"/>
        <v>110000</v>
      </c>
      <c r="AG50" s="140">
        <f>IF('TABLE 4 - October 2016 Dataset'!X50="No",0,"*CHECK*")</f>
        <v>0</v>
      </c>
      <c r="AH50" s="140">
        <f>'TABLE 4 - October 2016 Dataset'!Y50</f>
        <v>6791.53</v>
      </c>
      <c r="AI50" s="170">
        <f>IF('TABLE 4 - October 2016 Dataset'!Z50&gt;0,('TABLE 4 - October 2016 Dataset'!Z50*(1+'TABLE 1 - 2018-19 Provisional'!AI$79)*(1+AI$79))-((AI$76*SUM('TABLE 4 - October 2016 Dataset'!F50:H50))+AI$77),0)</f>
        <v>0</v>
      </c>
      <c r="AJ50" s="166" t="str">
        <f>IF('TABLE 4 - October 2016 Dataset'!AA50="Yes",'TABLE 2 - 2019-20 Illustrative'!AJ$76*SUM('TABLE 4 - October 2016 Dataset'!F50:H50),"")</f>
        <v/>
      </c>
      <c r="AK50" s="140">
        <f t="shared" si="13"/>
        <v>0</v>
      </c>
      <c r="AL50" s="94">
        <f t="shared" si="14"/>
        <v>660736.6777135015</v>
      </c>
      <c r="AM50" s="103"/>
      <c r="AN50" s="80">
        <f t="shared" si="2"/>
        <v>653945.14771350147</v>
      </c>
      <c r="AO50" s="165">
        <f>AN50/SUM('TABLE 4 - October 2016 Dataset'!F50:H50)</f>
        <v>3802.0066727529156</v>
      </c>
      <c r="AP50" s="165">
        <f t="shared" si="3"/>
        <v>0</v>
      </c>
      <c r="AQ50" s="165">
        <f>AP50*SUM('TABLE 4 - October 2016 Dataset'!F50:H50)</f>
        <v>0</v>
      </c>
      <c r="AR50" s="94">
        <f t="shared" si="15"/>
        <v>660736.6777135015</v>
      </c>
      <c r="AS50" s="103"/>
      <c r="AT50" s="80">
        <f>N50-(AF50+AG50+'TABLE 4 - October 2016 Dataset'!Y50)</f>
        <v>506078.20355978573</v>
      </c>
      <c r="AU50" s="187">
        <f t="shared" si="16"/>
        <v>543945.14771350147</v>
      </c>
      <c r="AV50" s="165">
        <f t="shared" si="17"/>
        <v>2942.3151369754983</v>
      </c>
      <c r="AW50" s="165">
        <f>AU50/SUM('TABLE 4 - October 2016 Dataset'!F50:H50)</f>
        <v>3162.4717890319853</v>
      </c>
      <c r="AX50" s="173">
        <f t="shared" si="18"/>
        <v>7.4824293730410218E-2</v>
      </c>
      <c r="AY50" s="173">
        <f t="shared" si="19"/>
        <v>0</v>
      </c>
      <c r="AZ50" s="175">
        <f t="shared" si="20"/>
        <v>0</v>
      </c>
      <c r="BA50" s="165">
        <f t="shared" si="21"/>
        <v>0</v>
      </c>
      <c r="BB50" s="94">
        <f t="shared" si="22"/>
        <v>660736.6777135015</v>
      </c>
      <c r="BC50" s="103"/>
      <c r="BD50" s="184">
        <f>'TABLE 1 - 2018-19 Provisional'!BR50-('TABLE 2 - 2019-20 Illustrative'!AF50+'TABLE 2 - 2019-20 Illustrative'!AG50+'TABLE 1 - 2018-19 Provisional'!AH50)</f>
        <v>521260.54966657935</v>
      </c>
      <c r="BE50" s="165">
        <f>BD50/SUM('TABLE 4 - October 2016 Dataset'!F50:H50)</f>
        <v>3030.5845910847638</v>
      </c>
      <c r="BF50" s="173">
        <f t="shared" si="23"/>
        <v>3.0000000000000249E-2</v>
      </c>
      <c r="BG50" s="173">
        <f t="shared" si="24"/>
        <v>4.3518731777097086E-2</v>
      </c>
      <c r="BH50" s="173">
        <f>'TABLE 1 - 2018-19 Provisional'!BF50</f>
        <v>7.4824293730410218E-2</v>
      </c>
      <c r="BI50" s="185">
        <f t="shared" si="34"/>
        <v>8.7037463554194179E-3</v>
      </c>
      <c r="BJ50" s="185">
        <f t="shared" si="5"/>
        <v>0.03</v>
      </c>
      <c r="BK50" s="173">
        <f t="shared" si="35"/>
        <v>-1.3518731777097087E-2</v>
      </c>
      <c r="BL50" s="175">
        <f t="shared" si="36"/>
        <v>-40.969660214678377</v>
      </c>
      <c r="BM50" s="165">
        <f>BL50*SUM('TABLE 4 - October 2016 Dataset'!F50:H50)</f>
        <v>-7046.7815569246814</v>
      </c>
      <c r="BN50" s="94">
        <f t="shared" si="37"/>
        <v>653689.89615657681</v>
      </c>
      <c r="BO50" s="103"/>
      <c r="BP50" s="179">
        <f t="shared" si="38"/>
        <v>646898.36615657678</v>
      </c>
      <c r="BQ50" s="175">
        <f>BP50/SUM('TABLE 4 - October 2016 Dataset'!F50:H50)</f>
        <v>3761.0370125382369</v>
      </c>
      <c r="BR50" s="175">
        <f t="shared" si="25"/>
        <v>0</v>
      </c>
      <c r="BS50" s="175">
        <f>BR50*SUM('TABLE 4 - October 2016 Dataset'!F50:H50)</f>
        <v>0</v>
      </c>
      <c r="BT50" s="94">
        <f t="shared" si="26"/>
        <v>653689.89615657681</v>
      </c>
      <c r="BU50" s="103"/>
      <c r="BV50" s="80">
        <f t="shared" si="27"/>
        <v>622869.73355978576</v>
      </c>
      <c r="BW50" s="122">
        <f t="shared" si="28"/>
        <v>3621.3356602313124</v>
      </c>
      <c r="BX50" s="264">
        <f t="shared" si="29"/>
        <v>653689.89615657681</v>
      </c>
      <c r="BY50" s="81">
        <f>BX50/SUM('TABLE 4 - October 2016 Dataset'!F50:H50)</f>
        <v>3800.5226520731212</v>
      </c>
      <c r="BZ50" s="264">
        <f t="shared" si="30"/>
        <v>30820.162596791051</v>
      </c>
      <c r="CA50" s="81">
        <f t="shared" si="31"/>
        <v>179.18699184180878</v>
      </c>
      <c r="CB50" s="269">
        <f t="shared" si="32"/>
        <v>4.9480912197562829E-2</v>
      </c>
      <c r="CC50" s="103"/>
      <c r="CD50" s="80">
        <f>'TABLE 5 - DfE Published Figures'!O49</f>
        <v>654000</v>
      </c>
      <c r="CE50" s="84">
        <f t="shared" si="33"/>
        <v>0</v>
      </c>
      <c r="CF50" s="81"/>
      <c r="CG50" s="81"/>
      <c r="CH50" s="81"/>
      <c r="CI50" s="81"/>
      <c r="CJ50" s="2"/>
    </row>
    <row r="51" spans="2:88" ht="15.75">
      <c r="B51" s="198">
        <v>3403</v>
      </c>
      <c r="C51" s="60" t="s">
        <v>68</v>
      </c>
      <c r="D51" s="204"/>
      <c r="F51" s="80">
        <v>263</v>
      </c>
      <c r="G51" s="163"/>
      <c r="H51" s="164">
        <v>0</v>
      </c>
      <c r="I51" s="94">
        <f t="shared" si="0"/>
        <v>263</v>
      </c>
      <c r="J51" s="103"/>
      <c r="K51" s="80">
        <v>925773.69680843712</v>
      </c>
      <c r="L51" s="163"/>
      <c r="M51" s="163"/>
      <c r="N51" s="94">
        <f t="shared" si="1"/>
        <v>925773.69680843712</v>
      </c>
      <c r="O51" s="103"/>
      <c r="P51" s="80">
        <f>P$76*'TABLE 4 - October 2016 Dataset'!F51</f>
        <v>722458.37</v>
      </c>
      <c r="Q51" s="160"/>
      <c r="R51" s="161"/>
      <c r="S51" s="162">
        <f t="shared" si="10"/>
        <v>722458.37</v>
      </c>
      <c r="T51" s="165">
        <f>T$76*'TABLE 4 - October 2016 Dataset'!I51</f>
        <v>4839.9999999999973</v>
      </c>
      <c r="U51" s="165">
        <f>U$76*'TABLE 4 - October 2016 Dataset'!J51</f>
        <v>15425.393258426966</v>
      </c>
      <c r="V51" s="165">
        <f>V$76*'TABLE 4 - October 2016 Dataset'!K51</f>
        <v>0</v>
      </c>
      <c r="W51" s="165">
        <f>W$76*'TABLE 4 - October 2016 Dataset'!L51</f>
        <v>2149.0272373540815</v>
      </c>
      <c r="X51" s="165">
        <f>X$76*'TABLE 4 - October 2016 Dataset'!M51</f>
        <v>1197.31517509728</v>
      </c>
      <c r="Y51" s="165">
        <f>Y$76*'TABLE 4 - October 2016 Dataset'!N51</f>
        <v>8104.9027237354067</v>
      </c>
      <c r="Z51" s="165">
        <f>Z$76*'TABLE 4 - October 2016 Dataset'!O51</f>
        <v>491.20622568093427</v>
      </c>
      <c r="AA51" s="165">
        <f>AA$76*'TABLE 4 - October 2016 Dataset'!P51</f>
        <v>10233.463035019435</v>
      </c>
      <c r="AB51" s="162">
        <f t="shared" si="11"/>
        <v>42441.3076553141</v>
      </c>
      <c r="AC51" s="140">
        <f>AC$76*'TABLE 4 - October 2016 Dataset'!Q51</f>
        <v>102001.45708298848</v>
      </c>
      <c r="AD51" s="140">
        <f>AD$76*'TABLE 4 - October 2016 Dataset'!R51</f>
        <v>32047.254464285732</v>
      </c>
      <c r="AE51" s="140">
        <f>AE$76*'TABLE 4 - October 2016 Dataset'!S51</f>
        <v>0</v>
      </c>
      <c r="AF51" s="140">
        <f t="shared" si="12"/>
        <v>110000</v>
      </c>
      <c r="AG51" s="140">
        <f>IF('TABLE 4 - October 2016 Dataset'!X51="No",0,"*CHECK*")</f>
        <v>0</v>
      </c>
      <c r="AH51" s="140">
        <f>'TABLE 4 - October 2016 Dataset'!Y51</f>
        <v>3672</v>
      </c>
      <c r="AI51" s="170">
        <f>IF('TABLE 4 - October 2016 Dataset'!Z51&gt;0,('TABLE 4 - October 2016 Dataset'!Z51*(1+'TABLE 1 - 2018-19 Provisional'!AI$79)*(1+AI$79))-((AI$76*SUM('TABLE 4 - October 2016 Dataset'!F51:H51))+AI$77),0)</f>
        <v>0</v>
      </c>
      <c r="AJ51" s="166" t="str">
        <f>IF('TABLE 4 - October 2016 Dataset'!AA51="Yes",'TABLE 2 - 2019-20 Illustrative'!AJ$76*SUM('TABLE 4 - October 2016 Dataset'!F51:H51),"")</f>
        <v/>
      </c>
      <c r="AK51" s="140">
        <f t="shared" si="13"/>
        <v>0</v>
      </c>
      <c r="AL51" s="94">
        <f t="shared" si="14"/>
        <v>1012620.3892025882</v>
      </c>
      <c r="AM51" s="103"/>
      <c r="AN51" s="80">
        <f t="shared" si="2"/>
        <v>1008948.3892025882</v>
      </c>
      <c r="AO51" s="165">
        <f>AN51/SUM('TABLE 4 - October 2016 Dataset'!F51:H51)</f>
        <v>3836.3056623672555</v>
      </c>
      <c r="AP51" s="165">
        <f t="shared" si="3"/>
        <v>0</v>
      </c>
      <c r="AQ51" s="165">
        <f>AP51*SUM('TABLE 4 - October 2016 Dataset'!F51:H51)</f>
        <v>0</v>
      </c>
      <c r="AR51" s="94">
        <f t="shared" si="15"/>
        <v>1012620.3892025882</v>
      </c>
      <c r="AS51" s="103"/>
      <c r="AT51" s="80">
        <f>N51-(AF51+AG51+'TABLE 4 - October 2016 Dataset'!Y51)</f>
        <v>812101.69680843712</v>
      </c>
      <c r="AU51" s="187">
        <f t="shared" si="16"/>
        <v>898948.38920258824</v>
      </c>
      <c r="AV51" s="165">
        <f t="shared" si="17"/>
        <v>3087.839151362879</v>
      </c>
      <c r="AW51" s="165">
        <f>AU51/SUM('TABLE 4 - October 2016 Dataset'!F51:H51)</f>
        <v>3418.0547117969136</v>
      </c>
      <c r="AX51" s="173">
        <f t="shared" si="18"/>
        <v>0.10694066117021905</v>
      </c>
      <c r="AY51" s="173">
        <f t="shared" si="19"/>
        <v>0</v>
      </c>
      <c r="AZ51" s="175">
        <f t="shared" si="20"/>
        <v>0</v>
      </c>
      <c r="BA51" s="165">
        <f t="shared" si="21"/>
        <v>0</v>
      </c>
      <c r="BB51" s="94">
        <f t="shared" si="22"/>
        <v>1012620.3892025882</v>
      </c>
      <c r="BC51" s="103"/>
      <c r="BD51" s="184">
        <f>'TABLE 1 - 2018-19 Provisional'!BR51-('TABLE 2 - 2019-20 Illustrative'!AF51+'TABLE 2 - 2019-20 Illustrative'!AG51+'TABLE 1 - 2018-19 Provisional'!AH51)</f>
        <v>836464.74771269027</v>
      </c>
      <c r="BE51" s="165">
        <f>BD51/SUM('TABLE 4 - October 2016 Dataset'!F51:H51)</f>
        <v>3180.4743259037655</v>
      </c>
      <c r="BF51" s="173">
        <f t="shared" si="23"/>
        <v>3.0000000000000027E-2</v>
      </c>
      <c r="BG51" s="173">
        <f t="shared" si="24"/>
        <v>7.4699671039047733E-2</v>
      </c>
      <c r="BH51" s="173">
        <f>'TABLE 1 - 2018-19 Provisional'!BF51</f>
        <v>0.10694066117021905</v>
      </c>
      <c r="BI51" s="185">
        <f t="shared" si="34"/>
        <v>1.4939934207809548E-2</v>
      </c>
      <c r="BJ51" s="185">
        <f t="shared" si="5"/>
        <v>0.03</v>
      </c>
      <c r="BK51" s="173">
        <f t="shared" si="35"/>
        <v>-4.4699671039047734E-2</v>
      </c>
      <c r="BL51" s="175">
        <f t="shared" si="36"/>
        <v>-142.16615611603541</v>
      </c>
      <c r="BM51" s="165">
        <f>BL51*SUM('TABLE 4 - October 2016 Dataset'!F51:H51)</f>
        <v>-37389.699058517312</v>
      </c>
      <c r="BN51" s="94">
        <f t="shared" si="37"/>
        <v>975230.69014407089</v>
      </c>
      <c r="BO51" s="103"/>
      <c r="BP51" s="179">
        <f t="shared" si="38"/>
        <v>971558.69014407089</v>
      </c>
      <c r="BQ51" s="175">
        <f>BP51/SUM('TABLE 4 - October 2016 Dataset'!F51:H51)</f>
        <v>3694.1395062512202</v>
      </c>
      <c r="BR51" s="175">
        <f t="shared" si="25"/>
        <v>0</v>
      </c>
      <c r="BS51" s="175">
        <f>BR51*SUM('TABLE 4 - October 2016 Dataset'!F51:H51)</f>
        <v>0</v>
      </c>
      <c r="BT51" s="94">
        <f t="shared" si="26"/>
        <v>975230.69014407089</v>
      </c>
      <c r="BU51" s="103"/>
      <c r="BV51" s="80">
        <f t="shared" si="27"/>
        <v>925773.69680843712</v>
      </c>
      <c r="BW51" s="122">
        <f t="shared" si="28"/>
        <v>3520.0520791195327</v>
      </c>
      <c r="BX51" s="264">
        <f t="shared" si="29"/>
        <v>975230.69014407089</v>
      </c>
      <c r="BY51" s="81">
        <f>BX51/SUM('TABLE 4 - October 2016 Dataset'!F51:H51)</f>
        <v>3708.1014834375319</v>
      </c>
      <c r="BZ51" s="264">
        <f t="shared" si="30"/>
        <v>49456.993335633771</v>
      </c>
      <c r="CA51" s="81">
        <f t="shared" si="31"/>
        <v>188.04940431799923</v>
      </c>
      <c r="CB51" s="269">
        <f t="shared" si="32"/>
        <v>5.3422335832325488E-2</v>
      </c>
      <c r="CC51" s="103"/>
      <c r="CD51" s="80">
        <f>'TABLE 5 - DfE Published Figures'!O50</f>
        <v>964000</v>
      </c>
      <c r="CE51" s="84">
        <f t="shared" si="33"/>
        <v>11000</v>
      </c>
      <c r="CF51" s="81"/>
      <c r="CG51" s="81"/>
      <c r="CH51" s="81"/>
      <c r="CI51" s="81"/>
      <c r="CJ51" s="2"/>
    </row>
    <row r="52" spans="2:88" ht="15.75">
      <c r="B52" s="198">
        <v>2227</v>
      </c>
      <c r="C52" s="60" t="s">
        <v>57</v>
      </c>
      <c r="D52" s="204"/>
      <c r="F52" s="80">
        <v>92</v>
      </c>
      <c r="G52" s="163"/>
      <c r="H52" s="164">
        <v>0</v>
      </c>
      <c r="I52" s="94">
        <f t="shared" si="0"/>
        <v>92</v>
      </c>
      <c r="J52" s="103"/>
      <c r="K52" s="80">
        <v>422169.52478015906</v>
      </c>
      <c r="L52" s="163"/>
      <c r="M52" s="163"/>
      <c r="N52" s="94">
        <f t="shared" si="1"/>
        <v>422169.52478015906</v>
      </c>
      <c r="O52" s="103"/>
      <c r="P52" s="80">
        <f>P$76*'TABLE 4 - October 2016 Dataset'!F52</f>
        <v>252723.08</v>
      </c>
      <c r="Q52" s="160"/>
      <c r="R52" s="161"/>
      <c r="S52" s="162">
        <f t="shared" si="10"/>
        <v>252723.08</v>
      </c>
      <c r="T52" s="165">
        <f>T$76*'TABLE 4 - October 2016 Dataset'!I52</f>
        <v>1759.9999999999993</v>
      </c>
      <c r="U52" s="165">
        <f>U$76*'TABLE 4 - October 2016 Dataset'!J52</f>
        <v>7728</v>
      </c>
      <c r="V52" s="165">
        <f>V$76*'TABLE 4 - October 2016 Dataset'!K52</f>
        <v>0</v>
      </c>
      <c r="W52" s="165">
        <f>W$76*'TABLE 4 - October 2016 Dataset'!L52</f>
        <v>419.99999999999989</v>
      </c>
      <c r="X52" s="165">
        <f>X$76*'TABLE 4 - October 2016 Dataset'!M52</f>
        <v>0</v>
      </c>
      <c r="Y52" s="165">
        <f>Y$76*'TABLE 4 - October 2016 Dataset'!N52</f>
        <v>719.99999999999977</v>
      </c>
      <c r="Z52" s="165">
        <f>Z$76*'TABLE 4 - October 2016 Dataset'!O52</f>
        <v>0</v>
      </c>
      <c r="AA52" s="165">
        <f>AA$76*'TABLE 4 - October 2016 Dataset'!P52</f>
        <v>1199.9999999999995</v>
      </c>
      <c r="AB52" s="162">
        <f t="shared" si="11"/>
        <v>11828</v>
      </c>
      <c r="AC52" s="140">
        <f>AC$76*'TABLE 4 - October 2016 Dataset'!Q52</f>
        <v>40764.473684210549</v>
      </c>
      <c r="AD52" s="140">
        <f>AD$76*'TABLE 4 - October 2016 Dataset'!R52</f>
        <v>0</v>
      </c>
      <c r="AE52" s="140">
        <f>AE$76*'TABLE 4 - October 2016 Dataset'!S52</f>
        <v>0</v>
      </c>
      <c r="AF52" s="140">
        <f t="shared" si="12"/>
        <v>110000</v>
      </c>
      <c r="AG52" s="140">
        <f>IF('TABLE 4 - October 2016 Dataset'!X52="No",0,"*CHECK*")</f>
        <v>0</v>
      </c>
      <c r="AH52" s="140">
        <f>'TABLE 4 - October 2016 Dataset'!Y52</f>
        <v>6681.4</v>
      </c>
      <c r="AI52" s="170">
        <f>IF('TABLE 4 - October 2016 Dataset'!Z52&gt;0,('TABLE 4 - October 2016 Dataset'!Z52*(1+'TABLE 1 - 2018-19 Provisional'!AI$79)*(1+AI$79))-((AI$76*SUM('TABLE 4 - October 2016 Dataset'!F52:H52))+AI$77),0)</f>
        <v>0</v>
      </c>
      <c r="AJ52" s="166" t="str">
        <f>IF('TABLE 4 - October 2016 Dataset'!AA52="Yes",'TABLE 2 - 2019-20 Illustrative'!AJ$76*SUM('TABLE 4 - October 2016 Dataset'!F52:H52),"")</f>
        <v/>
      </c>
      <c r="AK52" s="140">
        <f t="shared" si="13"/>
        <v>0</v>
      </c>
      <c r="AL52" s="94">
        <f t="shared" si="14"/>
        <v>421996.95368421054</v>
      </c>
      <c r="AM52" s="103"/>
      <c r="AN52" s="80">
        <f t="shared" si="2"/>
        <v>415315.55368421052</v>
      </c>
      <c r="AO52" s="165">
        <f>AN52/SUM('TABLE 4 - October 2016 Dataset'!F52:H52)</f>
        <v>4514.2994965675052</v>
      </c>
      <c r="AP52" s="165">
        <f t="shared" si="3"/>
        <v>0</v>
      </c>
      <c r="AQ52" s="165">
        <f>AP52*SUM('TABLE 4 - October 2016 Dataset'!F52:H52)</f>
        <v>0</v>
      </c>
      <c r="AR52" s="94">
        <f t="shared" si="15"/>
        <v>421996.95368421054</v>
      </c>
      <c r="AS52" s="103"/>
      <c r="AT52" s="80">
        <f>N52-(AF52+AG52+'TABLE 4 - October 2016 Dataset'!Y52)</f>
        <v>305488.12478015909</v>
      </c>
      <c r="AU52" s="187">
        <f t="shared" si="16"/>
        <v>305315.55368421052</v>
      </c>
      <c r="AV52" s="165">
        <f t="shared" si="17"/>
        <v>3320.523095436512</v>
      </c>
      <c r="AW52" s="165">
        <f>AU52/SUM('TABLE 4 - October 2016 Dataset'!F52:H52)</f>
        <v>3318.6473226544622</v>
      </c>
      <c r="AX52" s="173">
        <f t="shared" si="18"/>
        <v>-5.6490279637799734E-4</v>
      </c>
      <c r="AY52" s="173">
        <f t="shared" si="19"/>
        <v>1.0564902796377998E-2</v>
      </c>
      <c r="AZ52" s="175">
        <f t="shared" si="20"/>
        <v>35.081003736414928</v>
      </c>
      <c r="BA52" s="165">
        <f t="shared" si="21"/>
        <v>3227.4523437501734</v>
      </c>
      <c r="BB52" s="94">
        <f t="shared" si="22"/>
        <v>425224.40602796071</v>
      </c>
      <c r="BC52" s="103"/>
      <c r="BD52" s="184">
        <f>'TABLE 1 - 2018-19 Provisional'!BR52-('TABLE 2 - 2019-20 Illustrative'!AF52+'TABLE 2 - 2019-20 Illustrative'!AG52+'TABLE 1 - 2018-19 Provisional'!AH52)</f>
        <v>307015.56540405995</v>
      </c>
      <c r="BE52" s="165">
        <f>BD52/SUM('TABLE 4 - October 2016 Dataset'!F52:H52)</f>
        <v>3337.125710913695</v>
      </c>
      <c r="BF52" s="173">
        <f t="shared" si="23"/>
        <v>5.0000000000001155E-3</v>
      </c>
      <c r="BG52" s="173">
        <f t="shared" si="24"/>
        <v>-5.5372167128140415E-3</v>
      </c>
      <c r="BH52" s="173">
        <f>'TABLE 1 - 2018-19 Provisional'!BF52</f>
        <v>-5.6490279637799734E-4</v>
      </c>
      <c r="BI52" s="185" t="str">
        <f t="shared" si="34"/>
        <v xml:space="preserve">            NA</v>
      </c>
      <c r="BJ52" s="185">
        <f>IF(BH52&gt;AY$76,IF(BI52&gt;BJ$76,BI52,IF(BG52&lt;BJ$76,BG52,BJ$76)),AY$76/2)</f>
        <v>5.0000000000000001E-3</v>
      </c>
      <c r="BK52" s="173">
        <f t="shared" si="35"/>
        <v>0</v>
      </c>
      <c r="BL52" s="175">
        <f t="shared" si="36"/>
        <v>0</v>
      </c>
      <c r="BM52" s="165">
        <f>BL52*SUM('TABLE 4 - October 2016 Dataset'!F52:H52)</f>
        <v>0</v>
      </c>
      <c r="BN52" s="94">
        <f t="shared" si="37"/>
        <v>425224.40602796071</v>
      </c>
      <c r="BO52" s="103"/>
      <c r="BP52" s="179">
        <f t="shared" si="38"/>
        <v>418543.00602796068</v>
      </c>
      <c r="BQ52" s="175">
        <f>BP52/SUM('TABLE 4 - October 2016 Dataset'!F52:H52)</f>
        <v>4549.3805003039206</v>
      </c>
      <c r="BR52" s="175">
        <f t="shared" si="25"/>
        <v>0</v>
      </c>
      <c r="BS52" s="175">
        <f>BR52*SUM('TABLE 4 - October 2016 Dataset'!F52:H52)</f>
        <v>0</v>
      </c>
      <c r="BT52" s="94">
        <f t="shared" si="26"/>
        <v>425224.40602796071</v>
      </c>
      <c r="BU52" s="103"/>
      <c r="BV52" s="80">
        <f t="shared" si="27"/>
        <v>422169.52478015906</v>
      </c>
      <c r="BW52" s="122">
        <f t="shared" si="28"/>
        <v>4588.7991823930333</v>
      </c>
      <c r="BX52" s="264">
        <f t="shared" si="29"/>
        <v>425224.40602796071</v>
      </c>
      <c r="BY52" s="81">
        <f>BX52/SUM('TABLE 4 - October 2016 Dataset'!F52:H52)</f>
        <v>4622.0044133473993</v>
      </c>
      <c r="BZ52" s="264">
        <f t="shared" si="30"/>
        <v>3054.881247801648</v>
      </c>
      <c r="CA52" s="81">
        <f t="shared" si="31"/>
        <v>33.205230954366016</v>
      </c>
      <c r="CB52" s="269">
        <f t="shared" si="32"/>
        <v>7.2361482022949789E-3</v>
      </c>
      <c r="CC52" s="103"/>
      <c r="CD52" s="80">
        <f>'TABLE 5 - DfE Published Figures'!O51</f>
        <v>425000</v>
      </c>
      <c r="CE52" s="84">
        <f t="shared" si="33"/>
        <v>0</v>
      </c>
      <c r="CF52" s="81"/>
      <c r="CG52" s="81"/>
      <c r="CH52" s="81"/>
      <c r="CI52" s="81"/>
      <c r="CJ52" s="2"/>
    </row>
    <row r="53" spans="2:88" ht="15.75">
      <c r="B53" s="198">
        <v>2429</v>
      </c>
      <c r="C53" s="60" t="s">
        <v>58</v>
      </c>
      <c r="D53" s="204" t="s">
        <v>70</v>
      </c>
      <c r="F53" s="80">
        <v>191</v>
      </c>
      <c r="G53" s="163"/>
      <c r="H53" s="164">
        <v>0</v>
      </c>
      <c r="I53" s="94">
        <f t="shared" si="0"/>
        <v>191</v>
      </c>
      <c r="J53" s="103"/>
      <c r="K53" s="80">
        <v>861033.06835219671</v>
      </c>
      <c r="L53" s="163"/>
      <c r="M53" s="163"/>
      <c r="N53" s="94">
        <f t="shared" si="1"/>
        <v>861033.06835219671</v>
      </c>
      <c r="O53" s="103"/>
      <c r="P53" s="80">
        <f>P$76*'TABLE 4 - October 2016 Dataset'!F53</f>
        <v>524675.09</v>
      </c>
      <c r="Q53" s="160"/>
      <c r="R53" s="161"/>
      <c r="S53" s="162">
        <f t="shared" si="10"/>
        <v>524675.09</v>
      </c>
      <c r="T53" s="165">
        <f>T$76*'TABLE 4 - October 2016 Dataset'!I53</f>
        <v>18479.999999999985</v>
      </c>
      <c r="U53" s="165">
        <f>U$76*'TABLE 4 - October 2016 Dataset'!J53</f>
        <v>52214.625</v>
      </c>
      <c r="V53" s="165">
        <f>V$76*'TABLE 4 - October 2016 Dataset'!K53</f>
        <v>0</v>
      </c>
      <c r="W53" s="165">
        <f>W$76*'TABLE 4 - October 2016 Dataset'!L53</f>
        <v>17219.999999999971</v>
      </c>
      <c r="X53" s="165">
        <f>X$76*'TABLE 4 - October 2016 Dataset'!M53</f>
        <v>3119.9999999999995</v>
      </c>
      <c r="Y53" s="165">
        <f>Y$76*'TABLE 4 - October 2016 Dataset'!N53</f>
        <v>2520.0000000000027</v>
      </c>
      <c r="Z53" s="165">
        <f>Z$76*'TABLE 4 - October 2016 Dataset'!O53</f>
        <v>0</v>
      </c>
      <c r="AA53" s="165">
        <f>AA$76*'TABLE 4 - October 2016 Dataset'!P53</f>
        <v>21999.999999999993</v>
      </c>
      <c r="AB53" s="162">
        <f t="shared" si="11"/>
        <v>115554.62499999994</v>
      </c>
      <c r="AC53" s="140">
        <f>AC$76*'TABLE 4 - October 2016 Dataset'!Q53</f>
        <v>79807.703902802197</v>
      </c>
      <c r="AD53" s="140">
        <f>AD$76*'TABLE 4 - October 2016 Dataset'!R53</f>
        <v>11277.515923566838</v>
      </c>
      <c r="AE53" s="140">
        <f>AE$76*'TABLE 4 - October 2016 Dataset'!S53</f>
        <v>14859.900000000067</v>
      </c>
      <c r="AF53" s="140">
        <f t="shared" si="12"/>
        <v>110000</v>
      </c>
      <c r="AG53" s="140">
        <f>IF('TABLE 4 - October 2016 Dataset'!X53="No",0,"*CHECK*")</f>
        <v>0</v>
      </c>
      <c r="AH53" s="140">
        <f>'TABLE 4 - October 2016 Dataset'!Y53</f>
        <v>13758.08</v>
      </c>
      <c r="AI53" s="170">
        <f>IF('TABLE 4 - October 2016 Dataset'!Z53&gt;0,('TABLE 4 - October 2016 Dataset'!Z53*(1+'TABLE 1 - 2018-19 Provisional'!AI$79)*(1+AI$79))-((AI$76*SUM('TABLE 4 - October 2016 Dataset'!F53:H53))+AI$77),0)</f>
        <v>0</v>
      </c>
      <c r="AJ53" s="166" t="str">
        <f>IF('TABLE 4 - October 2016 Dataset'!AA53="Yes",'TABLE 2 - 2019-20 Illustrative'!AJ$76*SUM('TABLE 4 - October 2016 Dataset'!F53:H53),"")</f>
        <v/>
      </c>
      <c r="AK53" s="140">
        <f t="shared" si="13"/>
        <v>0</v>
      </c>
      <c r="AL53" s="94">
        <f t="shared" si="14"/>
        <v>869932.91482636891</v>
      </c>
      <c r="AM53" s="103"/>
      <c r="AN53" s="80">
        <f t="shared" si="2"/>
        <v>856174.83482636895</v>
      </c>
      <c r="AO53" s="165">
        <f>AN53/SUM('TABLE 4 - October 2016 Dataset'!F53:H53)</f>
        <v>4482.5907582532409</v>
      </c>
      <c r="AP53" s="165">
        <f t="shared" si="3"/>
        <v>0</v>
      </c>
      <c r="AQ53" s="165">
        <f>AP53*SUM('TABLE 4 - October 2016 Dataset'!F53:H53)</f>
        <v>0</v>
      </c>
      <c r="AR53" s="94">
        <f t="shared" si="15"/>
        <v>869932.91482636891</v>
      </c>
      <c r="AS53" s="103"/>
      <c r="AT53" s="80">
        <f>N53-(AF53+AG53+'TABLE 4 - October 2016 Dataset'!Y53)</f>
        <v>737274.98835219676</v>
      </c>
      <c r="AU53" s="187">
        <f t="shared" si="16"/>
        <v>746174.83482636895</v>
      </c>
      <c r="AV53" s="165">
        <f t="shared" si="17"/>
        <v>3860.0784730481505</v>
      </c>
      <c r="AW53" s="165">
        <f>AU53/SUM('TABLE 4 - October 2016 Dataset'!F53:H53)</f>
        <v>3906.6745278867484</v>
      </c>
      <c r="AX53" s="173">
        <f t="shared" si="18"/>
        <v>1.2071271390968086E-2</v>
      </c>
      <c r="AY53" s="173">
        <f t="shared" si="19"/>
        <v>0</v>
      </c>
      <c r="AZ53" s="175">
        <f t="shared" si="20"/>
        <v>0</v>
      </c>
      <c r="BA53" s="165">
        <f t="shared" si="21"/>
        <v>0</v>
      </c>
      <c r="BB53" s="94">
        <f t="shared" si="22"/>
        <v>869932.91482636891</v>
      </c>
      <c r="BC53" s="103"/>
      <c r="BD53" s="184">
        <f>'TABLE 1 - 2018-19 Provisional'!BR53-('TABLE 2 - 2019-20 Illustrative'!AF53+'TABLE 2 - 2019-20 Illustrative'!AG53+'TABLE 1 - 2018-19 Provisional'!AH53)</f>
        <v>746174.83482636895</v>
      </c>
      <c r="BE53" s="165">
        <f>BD53/SUM('TABLE 4 - October 2016 Dataset'!F53:H53)</f>
        <v>3906.6745278867484</v>
      </c>
      <c r="BF53" s="173">
        <f t="shared" si="23"/>
        <v>1.2071271390968086E-2</v>
      </c>
      <c r="BG53" s="173">
        <f t="shared" si="24"/>
        <v>0</v>
      </c>
      <c r="BH53" s="173">
        <f>'TABLE 1 - 2018-19 Provisional'!BF53</f>
        <v>1.2071271390968086E-2</v>
      </c>
      <c r="BI53" s="185">
        <f t="shared" si="34"/>
        <v>0</v>
      </c>
      <c r="BJ53" s="185">
        <f t="shared" ref="BJ53:BJ58" si="39">IF(BH53&gt;AY$76,IF(BI53&gt;BJ$76,BI53,IF(BG53&lt;BJ$76,BG53,BJ$76)),AY$76/2)</f>
        <v>0</v>
      </c>
      <c r="BK53" s="173">
        <f t="shared" si="35"/>
        <v>0</v>
      </c>
      <c r="BL53" s="175">
        <f t="shared" si="36"/>
        <v>0</v>
      </c>
      <c r="BM53" s="165">
        <f>BL53*SUM('TABLE 4 - October 2016 Dataset'!F53:H53)</f>
        <v>0</v>
      </c>
      <c r="BN53" s="94">
        <f t="shared" si="37"/>
        <v>869932.91482636891</v>
      </c>
      <c r="BO53" s="103"/>
      <c r="BP53" s="179">
        <f t="shared" si="38"/>
        <v>856174.83482636895</v>
      </c>
      <c r="BQ53" s="175">
        <f>BP53/SUM('TABLE 4 - October 2016 Dataset'!F53:H53)</f>
        <v>4482.5907582532409</v>
      </c>
      <c r="BR53" s="175">
        <f t="shared" si="25"/>
        <v>0</v>
      </c>
      <c r="BS53" s="175">
        <f>BR53*SUM('TABLE 4 - October 2016 Dataset'!F53:H53)</f>
        <v>0</v>
      </c>
      <c r="BT53" s="94">
        <f t="shared" si="26"/>
        <v>869932.91482636891</v>
      </c>
      <c r="BU53" s="103"/>
      <c r="BV53" s="80">
        <f t="shared" si="27"/>
        <v>861033.06835219671</v>
      </c>
      <c r="BW53" s="122">
        <f t="shared" si="28"/>
        <v>4508.0265358753759</v>
      </c>
      <c r="BX53" s="264">
        <f t="shared" si="29"/>
        <v>869932.91482636891</v>
      </c>
      <c r="BY53" s="81">
        <f>BX53/SUM('TABLE 4 - October 2016 Dataset'!F53:H53)</f>
        <v>4554.6225907139733</v>
      </c>
      <c r="BZ53" s="264">
        <f t="shared" si="30"/>
        <v>8899.8464741721982</v>
      </c>
      <c r="CA53" s="81">
        <f t="shared" si="31"/>
        <v>46.596054838597411</v>
      </c>
      <c r="CB53" s="269">
        <f t="shared" si="32"/>
        <v>1.0336242359662445E-2</v>
      </c>
      <c r="CC53" s="103"/>
      <c r="CD53" s="80">
        <f>'TABLE 5 - DfE Published Figures'!O52</f>
        <v>870000</v>
      </c>
      <c r="CE53" s="84">
        <f t="shared" si="33"/>
        <v>0</v>
      </c>
      <c r="CF53" s="81"/>
      <c r="CG53" s="81"/>
      <c r="CH53" s="81"/>
      <c r="CI53" s="81"/>
      <c r="CJ53" s="2"/>
    </row>
    <row r="54" spans="2:88" ht="15.75">
      <c r="B54" s="198">
        <v>2017</v>
      </c>
      <c r="C54" s="60" t="s">
        <v>59</v>
      </c>
      <c r="D54" s="204"/>
      <c r="F54" s="80">
        <v>526</v>
      </c>
      <c r="G54" s="163"/>
      <c r="H54" s="164">
        <v>-2</v>
      </c>
      <c r="I54" s="94">
        <f t="shared" si="0"/>
        <v>524</v>
      </c>
      <c r="J54" s="103"/>
      <c r="K54" s="80">
        <v>1857807.6391980168</v>
      </c>
      <c r="L54" s="163"/>
      <c r="M54" s="163"/>
      <c r="N54" s="94">
        <f t="shared" si="1"/>
        <v>1857807.6391980168</v>
      </c>
      <c r="O54" s="103"/>
      <c r="P54" s="80">
        <f>P$76*'TABLE 4 - October 2016 Dataset'!F54</f>
        <v>1439422.7599999998</v>
      </c>
      <c r="Q54" s="160"/>
      <c r="R54" s="161"/>
      <c r="S54" s="162">
        <f t="shared" si="10"/>
        <v>1439422.7599999998</v>
      </c>
      <c r="T54" s="165">
        <f>T$76*'TABLE 4 - October 2016 Dataset'!I54</f>
        <v>32560.000000000113</v>
      </c>
      <c r="U54" s="165">
        <f>U$76*'TABLE 4 - October 2016 Dataset'!J54</f>
        <v>108391.93548387097</v>
      </c>
      <c r="V54" s="165">
        <f>V$76*'TABLE 4 - October 2016 Dataset'!K54</f>
        <v>0</v>
      </c>
      <c r="W54" s="165">
        <f>W$76*'TABLE 4 - October 2016 Dataset'!L54</f>
        <v>0</v>
      </c>
      <c r="X54" s="165">
        <f>X$76*'TABLE 4 - October 2016 Dataset'!M54</f>
        <v>17617.241379310337</v>
      </c>
      <c r="Y54" s="165">
        <f>Y$76*'TABLE 4 - October 2016 Dataset'!N54</f>
        <v>63964.137931034486</v>
      </c>
      <c r="Z54" s="165">
        <f>Z$76*'TABLE 4 - October 2016 Dataset'!O54</f>
        <v>0</v>
      </c>
      <c r="AA54" s="165">
        <f>AA$76*'TABLE 4 - October 2016 Dataset'!P54</f>
        <v>15057.471264367792</v>
      </c>
      <c r="AB54" s="162">
        <f t="shared" si="11"/>
        <v>237590.7860585837</v>
      </c>
      <c r="AC54" s="140">
        <f>AC$76*'TABLE 4 - October 2016 Dataset'!Q54</f>
        <v>219662.30431030245</v>
      </c>
      <c r="AD54" s="140">
        <f>AD$76*'TABLE 4 - October 2016 Dataset'!R54</f>
        <v>6839.7695852534653</v>
      </c>
      <c r="AE54" s="140">
        <f>AE$76*'TABLE 4 - October 2016 Dataset'!S54</f>
        <v>0</v>
      </c>
      <c r="AF54" s="140">
        <f t="shared" si="12"/>
        <v>110000</v>
      </c>
      <c r="AG54" s="140">
        <f>IF('TABLE 4 - October 2016 Dataset'!X54="No",0,"*CHECK*")</f>
        <v>0</v>
      </c>
      <c r="AH54" s="140">
        <f>'TABLE 4 - October 2016 Dataset'!Y54</f>
        <v>38374.050000000003</v>
      </c>
      <c r="AI54" s="170">
        <f>IF('TABLE 4 - October 2016 Dataset'!Z54&gt;0,('TABLE 4 - October 2016 Dataset'!Z54*(1+'TABLE 1 - 2018-19 Provisional'!AI$79)*(1+AI$79))-((AI$76*SUM('TABLE 4 - October 2016 Dataset'!F54:H54))+AI$77),0)</f>
        <v>0</v>
      </c>
      <c r="AJ54" s="166" t="str">
        <f>IF('TABLE 4 - October 2016 Dataset'!AA54="Yes",'TABLE 2 - 2019-20 Illustrative'!AJ$76*SUM('TABLE 4 - October 2016 Dataset'!F54:H54),"")</f>
        <v/>
      </c>
      <c r="AK54" s="140">
        <f t="shared" si="13"/>
        <v>0</v>
      </c>
      <c r="AL54" s="94">
        <f t="shared" si="14"/>
        <v>2051889.6699541395</v>
      </c>
      <c r="AM54" s="103"/>
      <c r="AN54" s="80">
        <f t="shared" si="2"/>
        <v>2013515.6199541395</v>
      </c>
      <c r="AO54" s="165">
        <f>AN54/SUM('TABLE 4 - October 2016 Dataset'!F54:H54)</f>
        <v>3842.5870609811823</v>
      </c>
      <c r="AP54" s="165">
        <f t="shared" si="3"/>
        <v>0</v>
      </c>
      <c r="AQ54" s="165">
        <f>AP54*SUM('TABLE 4 - October 2016 Dataset'!F54:H54)</f>
        <v>0</v>
      </c>
      <c r="AR54" s="94">
        <f t="shared" si="15"/>
        <v>2051889.6699541395</v>
      </c>
      <c r="AS54" s="103"/>
      <c r="AT54" s="80">
        <f>N54-(AF54+AG54+'TABLE 4 - October 2016 Dataset'!Y54)</f>
        <v>1709433.5891980168</v>
      </c>
      <c r="AU54" s="187">
        <f t="shared" si="16"/>
        <v>1903515.6199541395</v>
      </c>
      <c r="AV54" s="165">
        <f t="shared" si="17"/>
        <v>3262.2778419809479</v>
      </c>
      <c r="AW54" s="165">
        <f>AU54/SUM('TABLE 4 - October 2016 Dataset'!F54:H54)</f>
        <v>3632.663396859045</v>
      </c>
      <c r="AX54" s="173">
        <f t="shared" si="18"/>
        <v>0.1135358705845817</v>
      </c>
      <c r="AY54" s="173">
        <f t="shared" si="19"/>
        <v>0</v>
      </c>
      <c r="AZ54" s="175">
        <f t="shared" si="20"/>
        <v>0</v>
      </c>
      <c r="BA54" s="165">
        <f t="shared" si="21"/>
        <v>0</v>
      </c>
      <c r="BB54" s="94">
        <f t="shared" si="22"/>
        <v>2051889.6699541395</v>
      </c>
      <c r="BC54" s="103"/>
      <c r="BD54" s="184">
        <f>'TABLE 1 - 2018-19 Provisional'!BR54-('TABLE 2 - 2019-20 Illustrative'!AF54+'TABLE 2 - 2019-20 Illustrative'!AG54+'TABLE 1 - 2018-19 Provisional'!AH54)</f>
        <v>1760716.596873957</v>
      </c>
      <c r="BE54" s="165">
        <f>BD54/SUM('TABLE 4 - October 2016 Dataset'!F54:H54)</f>
        <v>3360.1461772403759</v>
      </c>
      <c r="BF54" s="173">
        <f t="shared" si="23"/>
        <v>2.9999999999999805E-2</v>
      </c>
      <c r="BG54" s="173">
        <f t="shared" si="24"/>
        <v>8.1102786975322028E-2</v>
      </c>
      <c r="BH54" s="173">
        <f>'TABLE 1 - 2018-19 Provisional'!BF54</f>
        <v>0.1135358705845817</v>
      </c>
      <c r="BI54" s="185">
        <f t="shared" si="34"/>
        <v>1.6220557395064405E-2</v>
      </c>
      <c r="BJ54" s="185">
        <f t="shared" si="39"/>
        <v>0.03</v>
      </c>
      <c r="BK54" s="173">
        <f t="shared" si="35"/>
        <v>-5.1102786975322029E-2</v>
      </c>
      <c r="BL54" s="175">
        <f t="shared" si="36"/>
        <v>-171.71283430145758</v>
      </c>
      <c r="BM54" s="165">
        <f>BL54*SUM('TABLE 4 - October 2016 Dataset'!F54:H54)</f>
        <v>-89977.525173963775</v>
      </c>
      <c r="BN54" s="94">
        <f t="shared" si="37"/>
        <v>1961912.1447801758</v>
      </c>
      <c r="BO54" s="103"/>
      <c r="BP54" s="179">
        <f t="shared" si="38"/>
        <v>1923538.0947801757</v>
      </c>
      <c r="BQ54" s="175">
        <f>BP54/SUM('TABLE 4 - October 2016 Dataset'!F54:H54)</f>
        <v>3670.8742266797249</v>
      </c>
      <c r="BR54" s="175">
        <f t="shared" si="25"/>
        <v>0</v>
      </c>
      <c r="BS54" s="175">
        <f>BR54*SUM('TABLE 4 - October 2016 Dataset'!F54:H54)</f>
        <v>0</v>
      </c>
      <c r="BT54" s="94">
        <f t="shared" si="26"/>
        <v>1961912.1447801758</v>
      </c>
      <c r="BU54" s="103"/>
      <c r="BV54" s="80">
        <f t="shared" si="27"/>
        <v>1857807.6391980168</v>
      </c>
      <c r="BW54" s="122">
        <f t="shared" si="28"/>
        <v>3545.4344259504137</v>
      </c>
      <c r="BX54" s="264">
        <f t="shared" si="29"/>
        <v>1961912.1447801758</v>
      </c>
      <c r="BY54" s="81">
        <f>BX54/SUM('TABLE 4 - October 2016 Dataset'!F54:H54)</f>
        <v>3744.1071465270529</v>
      </c>
      <c r="BZ54" s="264">
        <f t="shared" si="30"/>
        <v>104104.50558215892</v>
      </c>
      <c r="CA54" s="81">
        <f t="shared" si="31"/>
        <v>198.67272057663922</v>
      </c>
      <c r="CB54" s="269">
        <f t="shared" si="32"/>
        <v>5.6036213537747674E-2</v>
      </c>
      <c r="CC54" s="103"/>
      <c r="CD54" s="80">
        <f>'TABLE 5 - DfE Published Figures'!O53</f>
        <v>1962000</v>
      </c>
      <c r="CE54" s="84">
        <f t="shared" si="33"/>
        <v>0</v>
      </c>
      <c r="CF54" s="81"/>
      <c r="CG54" s="81"/>
      <c r="CH54" s="81"/>
      <c r="CI54" s="81"/>
      <c r="CJ54" s="2"/>
    </row>
    <row r="55" spans="2:88" ht="15.75">
      <c r="B55" s="198">
        <v>3380</v>
      </c>
      <c r="C55" s="60" t="s">
        <v>60</v>
      </c>
      <c r="D55" s="204"/>
      <c r="F55" s="80">
        <v>226</v>
      </c>
      <c r="G55" s="163"/>
      <c r="H55" s="164">
        <v>0</v>
      </c>
      <c r="I55" s="94">
        <f t="shared" si="0"/>
        <v>226</v>
      </c>
      <c r="J55" s="103"/>
      <c r="K55" s="80">
        <v>721489.62072683324</v>
      </c>
      <c r="L55" s="163"/>
      <c r="M55" s="163"/>
      <c r="N55" s="94">
        <f t="shared" si="1"/>
        <v>721489.62072683324</v>
      </c>
      <c r="O55" s="103"/>
      <c r="P55" s="80">
        <f>P$76*'TABLE 4 - October 2016 Dataset'!F55</f>
        <v>620819.74</v>
      </c>
      <c r="Q55" s="160"/>
      <c r="R55" s="161"/>
      <c r="S55" s="162">
        <f t="shared" si="10"/>
        <v>620819.74</v>
      </c>
      <c r="T55" s="165">
        <f>T$76*'TABLE 4 - October 2016 Dataset'!I55</f>
        <v>879.99999999999966</v>
      </c>
      <c r="U55" s="165">
        <f>U$76*'TABLE 4 - October 2016 Dataset'!J55</f>
        <v>5472.6457399103138</v>
      </c>
      <c r="V55" s="165">
        <f>V$76*'TABLE 4 - October 2016 Dataset'!K55</f>
        <v>0</v>
      </c>
      <c r="W55" s="165">
        <f>W$76*'TABLE 4 - October 2016 Dataset'!L55</f>
        <v>0</v>
      </c>
      <c r="X55" s="165">
        <f>X$76*'TABLE 4 - October 2016 Dataset'!M55</f>
        <v>0</v>
      </c>
      <c r="Y55" s="165">
        <f>Y$76*'TABLE 4 - October 2016 Dataset'!N55</f>
        <v>0</v>
      </c>
      <c r="Z55" s="165">
        <f>Z$76*'TABLE 4 - October 2016 Dataset'!O55</f>
        <v>0</v>
      </c>
      <c r="AA55" s="165">
        <f>AA$76*'TABLE 4 - October 2016 Dataset'!P55</f>
        <v>0</v>
      </c>
      <c r="AB55" s="162">
        <f t="shared" si="11"/>
        <v>6352.6457399103138</v>
      </c>
      <c r="AC55" s="140">
        <f>AC$76*'TABLE 4 - October 2016 Dataset'!Q55</f>
        <v>34292.560279187819</v>
      </c>
      <c r="AD55" s="140">
        <f>AD$76*'TABLE 4 - October 2016 Dataset'!R55</f>
        <v>0</v>
      </c>
      <c r="AE55" s="140">
        <f>AE$76*'TABLE 4 - October 2016 Dataset'!S55</f>
        <v>0</v>
      </c>
      <c r="AF55" s="140">
        <f t="shared" si="12"/>
        <v>110000</v>
      </c>
      <c r="AG55" s="140">
        <f>IF('TABLE 4 - October 2016 Dataset'!X55="No",0,"*CHECK*")</f>
        <v>0</v>
      </c>
      <c r="AH55" s="140">
        <f>'TABLE 4 - October 2016 Dataset'!Y55</f>
        <v>4248</v>
      </c>
      <c r="AI55" s="170">
        <f>IF('TABLE 4 - October 2016 Dataset'!Z55&gt;0,('TABLE 4 - October 2016 Dataset'!Z55*(1+'TABLE 1 - 2018-19 Provisional'!AI$79)*(1+AI$79))-((AI$76*SUM('TABLE 4 - October 2016 Dataset'!F55:H55))+AI$77),0)</f>
        <v>0</v>
      </c>
      <c r="AJ55" s="166" t="str">
        <f>IF('TABLE 4 - October 2016 Dataset'!AA55="Yes",'TABLE 2 - 2019-20 Illustrative'!AJ$76*SUM('TABLE 4 - October 2016 Dataset'!F55:H55),"")</f>
        <v/>
      </c>
      <c r="AK55" s="140">
        <f t="shared" si="13"/>
        <v>0</v>
      </c>
      <c r="AL55" s="94">
        <f t="shared" si="14"/>
        <v>775712.94601909816</v>
      </c>
      <c r="AM55" s="103"/>
      <c r="AN55" s="80">
        <f t="shared" si="2"/>
        <v>771464.94601909816</v>
      </c>
      <c r="AO55" s="165">
        <f>AN55/SUM('TABLE 4 - October 2016 Dataset'!F55:H55)</f>
        <v>3413.561708049107</v>
      </c>
      <c r="AP55" s="165">
        <f t="shared" si="3"/>
        <v>86.438291950893017</v>
      </c>
      <c r="AQ55" s="165">
        <f>AP55*SUM('TABLE 4 - October 2016 Dataset'!F55:H55)</f>
        <v>19535.053980901823</v>
      </c>
      <c r="AR55" s="94">
        <f t="shared" si="15"/>
        <v>795248</v>
      </c>
      <c r="AS55" s="103"/>
      <c r="AT55" s="80">
        <f>N55-(AF55+AG55+'TABLE 4 - October 2016 Dataset'!Y55)</f>
        <v>607241.62072683324</v>
      </c>
      <c r="AU55" s="187">
        <f t="shared" si="16"/>
        <v>681000</v>
      </c>
      <c r="AV55" s="165">
        <f t="shared" si="17"/>
        <v>2686.9098262249258</v>
      </c>
      <c r="AW55" s="165">
        <f>AU55/SUM('TABLE 4 - October 2016 Dataset'!F55:H55)</f>
        <v>3013.2743362831857</v>
      </c>
      <c r="AX55" s="173">
        <f t="shared" si="18"/>
        <v>0.12146463080854408</v>
      </c>
      <c r="AY55" s="173">
        <f t="shared" si="19"/>
        <v>0</v>
      </c>
      <c r="AZ55" s="175">
        <f t="shared" si="20"/>
        <v>0</v>
      </c>
      <c r="BA55" s="165">
        <f t="shared" si="21"/>
        <v>0</v>
      </c>
      <c r="BB55" s="94">
        <f t="shared" si="22"/>
        <v>795248</v>
      </c>
      <c r="BC55" s="103"/>
      <c r="BD55" s="184">
        <f>'TABLE 1 - 2018-19 Provisional'!BR55-('TABLE 2 - 2019-20 Illustrative'!AF55+'TABLE 2 - 2019-20 Illustrative'!AG55+'TABLE 1 - 2018-19 Provisional'!AH55)</f>
        <v>635800</v>
      </c>
      <c r="BE55" s="165">
        <f>BD55/SUM('TABLE 4 - October 2016 Dataset'!F55:H55)</f>
        <v>2813.2743362831857</v>
      </c>
      <c r="BF55" s="173">
        <f t="shared" si="23"/>
        <v>4.7029680276170716E-2</v>
      </c>
      <c r="BG55" s="173">
        <f t="shared" si="24"/>
        <v>7.109153821956582E-2</v>
      </c>
      <c r="BH55" s="173">
        <f>'TABLE 1 - 2018-19 Provisional'!BF55</f>
        <v>0.12146463080854408</v>
      </c>
      <c r="BI55" s="185">
        <f t="shared" si="34"/>
        <v>1.4218307643913165E-2</v>
      </c>
      <c r="BJ55" s="185">
        <f t="shared" si="39"/>
        <v>0.03</v>
      </c>
      <c r="BK55" s="173">
        <f t="shared" si="35"/>
        <v>-4.1091538219565821E-2</v>
      </c>
      <c r="BL55" s="175">
        <f t="shared" si="36"/>
        <v>-115.60176991150419</v>
      </c>
      <c r="BM55" s="165">
        <f>BL55*SUM('TABLE 4 - October 2016 Dataset'!F55:H55)</f>
        <v>-26125.999999999949</v>
      </c>
      <c r="BN55" s="94">
        <f t="shared" si="37"/>
        <v>769122</v>
      </c>
      <c r="BO55" s="103"/>
      <c r="BP55" s="179">
        <f t="shared" si="38"/>
        <v>764874</v>
      </c>
      <c r="BQ55" s="175">
        <f>BP55/SUM('TABLE 4 - October 2016 Dataset'!F55:H55)</f>
        <v>3384.3982300884954</v>
      </c>
      <c r="BR55" s="175">
        <f t="shared" si="25"/>
        <v>115.60176991150456</v>
      </c>
      <c r="BS55" s="175">
        <f>BR55*SUM('TABLE 4 - October 2016 Dataset'!F55:H55)</f>
        <v>26126.000000000029</v>
      </c>
      <c r="BT55" s="94">
        <f t="shared" si="26"/>
        <v>795248</v>
      </c>
      <c r="BU55" s="103"/>
      <c r="BV55" s="80">
        <f t="shared" si="27"/>
        <v>721489.62072683324</v>
      </c>
      <c r="BW55" s="122">
        <f t="shared" si="28"/>
        <v>3192.431950118731</v>
      </c>
      <c r="BX55" s="264">
        <f t="shared" si="29"/>
        <v>795248</v>
      </c>
      <c r="BY55" s="81">
        <f>BX55/SUM('TABLE 4 - October 2016 Dataset'!F55:H55)</f>
        <v>3518.7964601769913</v>
      </c>
      <c r="BZ55" s="264">
        <f t="shared" si="30"/>
        <v>73758.379273166764</v>
      </c>
      <c r="CA55" s="81">
        <f t="shared" si="31"/>
        <v>326.36451005826029</v>
      </c>
      <c r="CB55" s="269">
        <f t="shared" si="32"/>
        <v>0.10223068656048324</v>
      </c>
      <c r="CC55" s="103"/>
      <c r="CD55" s="80">
        <f>'TABLE 5 - DfE Published Figures'!O54</f>
        <v>795000</v>
      </c>
      <c r="CE55" s="84">
        <f t="shared" si="33"/>
        <v>0</v>
      </c>
      <c r="CF55" s="81"/>
      <c r="CG55" s="81"/>
      <c r="CH55" s="81"/>
      <c r="CI55" s="81"/>
      <c r="CJ55" s="2"/>
    </row>
    <row r="56" spans="2:88" ht="15.75">
      <c r="B56" s="198">
        <v>2240</v>
      </c>
      <c r="C56" s="60" t="s">
        <v>61</v>
      </c>
      <c r="D56" s="204"/>
      <c r="F56" s="80">
        <v>272</v>
      </c>
      <c r="G56" s="163"/>
      <c r="H56" s="164">
        <v>-1</v>
      </c>
      <c r="I56" s="94">
        <f t="shared" si="0"/>
        <v>271</v>
      </c>
      <c r="J56" s="103"/>
      <c r="K56" s="80">
        <v>858323.07933024038</v>
      </c>
      <c r="L56" s="163"/>
      <c r="M56" s="163"/>
      <c r="N56" s="94">
        <f t="shared" si="1"/>
        <v>858323.07933024038</v>
      </c>
      <c r="O56" s="103"/>
      <c r="P56" s="80">
        <f>P$76*'TABLE 4 - October 2016 Dataset'!F56</f>
        <v>744434.28999999992</v>
      </c>
      <c r="Q56" s="160"/>
      <c r="R56" s="161"/>
      <c r="S56" s="162">
        <f t="shared" si="10"/>
        <v>744434.28999999992</v>
      </c>
      <c r="T56" s="165">
        <f>T$76*'TABLE 4 - October 2016 Dataset'!I56</f>
        <v>1759.9999999999982</v>
      </c>
      <c r="U56" s="165">
        <f>U$76*'TABLE 4 - October 2016 Dataset'!J56</f>
        <v>10037.761732851986</v>
      </c>
      <c r="V56" s="165">
        <f>V$76*'TABLE 4 - October 2016 Dataset'!K56</f>
        <v>0</v>
      </c>
      <c r="W56" s="165">
        <f>W$76*'TABLE 4 - October 2016 Dataset'!L56</f>
        <v>429.50943396226444</v>
      </c>
      <c r="X56" s="165">
        <f>X$76*'TABLE 4 - October 2016 Dataset'!M56</f>
        <v>0</v>
      </c>
      <c r="Y56" s="165">
        <f>Y$76*'TABLE 4 - October 2016 Dataset'!N56</f>
        <v>368.15094339622664</v>
      </c>
      <c r="Z56" s="165">
        <f>Z$76*'TABLE 4 - October 2016 Dataset'!O56</f>
        <v>981.73584905660312</v>
      </c>
      <c r="AA56" s="165">
        <f>AA$76*'TABLE 4 - October 2016 Dataset'!P56</f>
        <v>409.05660377358464</v>
      </c>
      <c r="AB56" s="162">
        <f t="shared" si="11"/>
        <v>13986.214563040665</v>
      </c>
      <c r="AC56" s="140">
        <f>AC$76*'TABLE 4 - October 2016 Dataset'!Q56</f>
        <v>51237.035436473649</v>
      </c>
      <c r="AD56" s="140">
        <f>AD$76*'TABLE 4 - October 2016 Dataset'!R56</f>
        <v>0</v>
      </c>
      <c r="AE56" s="140">
        <f>AE$76*'TABLE 4 - October 2016 Dataset'!S56</f>
        <v>0</v>
      </c>
      <c r="AF56" s="140">
        <f t="shared" si="12"/>
        <v>110000</v>
      </c>
      <c r="AG56" s="140">
        <f>IF('TABLE 4 - October 2016 Dataset'!X56="No",0,"*CHECK*")</f>
        <v>0</v>
      </c>
      <c r="AH56" s="140">
        <f>'TABLE 4 - October 2016 Dataset'!Y56</f>
        <v>12936.34</v>
      </c>
      <c r="AI56" s="170">
        <f>IF('TABLE 4 - October 2016 Dataset'!Z56&gt;0,('TABLE 4 - October 2016 Dataset'!Z56*(1+'TABLE 1 - 2018-19 Provisional'!AI$79)*(1+AI$79))-((AI$76*SUM('TABLE 4 - October 2016 Dataset'!F56:H56))+AI$77),0)</f>
        <v>0</v>
      </c>
      <c r="AJ56" s="166" t="str">
        <f>IF('TABLE 4 - October 2016 Dataset'!AA56="Yes",'TABLE 2 - 2019-20 Illustrative'!AJ$76*SUM('TABLE 4 - October 2016 Dataset'!F56:H56),"")</f>
        <v/>
      </c>
      <c r="AK56" s="140">
        <f t="shared" si="13"/>
        <v>0</v>
      </c>
      <c r="AL56" s="94">
        <f t="shared" si="14"/>
        <v>932593.8799995142</v>
      </c>
      <c r="AM56" s="103"/>
      <c r="AN56" s="80">
        <f t="shared" si="2"/>
        <v>919657.53999951424</v>
      </c>
      <c r="AO56" s="165">
        <f>AN56/SUM('TABLE 4 - October 2016 Dataset'!F56:H56)</f>
        <v>3393.5702583007906</v>
      </c>
      <c r="AP56" s="165">
        <f t="shared" si="3"/>
        <v>106.42974169920944</v>
      </c>
      <c r="AQ56" s="165">
        <f>AP56*SUM('TABLE 4 - October 2016 Dataset'!F56:H56)</f>
        <v>28842.46000048576</v>
      </c>
      <c r="AR56" s="94">
        <f t="shared" si="15"/>
        <v>961436.34</v>
      </c>
      <c r="AS56" s="103"/>
      <c r="AT56" s="80">
        <f>N56-(AF56+AG56+'TABLE 4 - October 2016 Dataset'!Y56)</f>
        <v>735386.73933024041</v>
      </c>
      <c r="AU56" s="187">
        <f t="shared" si="16"/>
        <v>838500</v>
      </c>
      <c r="AV56" s="165">
        <f t="shared" si="17"/>
        <v>2713.6042041706287</v>
      </c>
      <c r="AW56" s="165">
        <f>AU56/SUM('TABLE 4 - October 2016 Dataset'!F56:H56)</f>
        <v>3094.0959409594097</v>
      </c>
      <c r="AX56" s="173">
        <f t="shared" si="18"/>
        <v>0.14021637208697957</v>
      </c>
      <c r="AY56" s="173">
        <f t="shared" si="19"/>
        <v>0</v>
      </c>
      <c r="AZ56" s="175">
        <f t="shared" si="20"/>
        <v>0</v>
      </c>
      <c r="BA56" s="165">
        <f t="shared" si="21"/>
        <v>0</v>
      </c>
      <c r="BB56" s="94">
        <f t="shared" si="22"/>
        <v>961436.34</v>
      </c>
      <c r="BC56" s="103"/>
      <c r="BD56" s="184">
        <f>'TABLE 1 - 2018-19 Provisional'!BR56-('TABLE 2 - 2019-20 Illustrative'!AF56+'TABLE 2 - 2019-20 Illustrative'!AG56+'TABLE 1 - 2018-19 Provisional'!AH56)</f>
        <v>784300</v>
      </c>
      <c r="BE56" s="165">
        <f>BD56/SUM('TABLE 4 - October 2016 Dataset'!F56:H56)</f>
        <v>2894.0959409594097</v>
      </c>
      <c r="BF56" s="173">
        <f t="shared" si="23"/>
        <v>6.6513656085650741E-2</v>
      </c>
      <c r="BG56" s="173">
        <f t="shared" si="24"/>
        <v>6.910620935866385E-2</v>
      </c>
      <c r="BH56" s="173">
        <f>'TABLE 1 - 2018-19 Provisional'!BF56</f>
        <v>0.14021637208697957</v>
      </c>
      <c r="BI56" s="185">
        <f t="shared" si="34"/>
        <v>1.3821241871732771E-2</v>
      </c>
      <c r="BJ56" s="185">
        <f t="shared" si="39"/>
        <v>0.03</v>
      </c>
      <c r="BK56" s="173">
        <f t="shared" si="35"/>
        <v>-3.9106209358663852E-2</v>
      </c>
      <c r="BL56" s="175">
        <f t="shared" si="36"/>
        <v>-113.17712177121794</v>
      </c>
      <c r="BM56" s="165">
        <f>BL56*SUM('TABLE 4 - October 2016 Dataset'!F56:H56)</f>
        <v>-30671.000000000062</v>
      </c>
      <c r="BN56" s="94">
        <f t="shared" si="37"/>
        <v>930765.33999999985</v>
      </c>
      <c r="BO56" s="103"/>
      <c r="BP56" s="179">
        <f t="shared" si="38"/>
        <v>917828.99999999988</v>
      </c>
      <c r="BQ56" s="175">
        <f>BP56/SUM('TABLE 4 - October 2016 Dataset'!F56:H56)</f>
        <v>3386.822878228782</v>
      </c>
      <c r="BR56" s="175">
        <f t="shared" si="25"/>
        <v>113.17712177121803</v>
      </c>
      <c r="BS56" s="175">
        <f>BR56*SUM('TABLE 4 - October 2016 Dataset'!F56:H56)</f>
        <v>30671.000000000084</v>
      </c>
      <c r="BT56" s="94">
        <f t="shared" si="26"/>
        <v>961436.34</v>
      </c>
      <c r="BU56" s="103"/>
      <c r="BV56" s="80">
        <f t="shared" si="27"/>
        <v>858323.07933024038</v>
      </c>
      <c r="BW56" s="122">
        <f t="shared" si="28"/>
        <v>3167.2438351669389</v>
      </c>
      <c r="BX56" s="264">
        <f t="shared" si="29"/>
        <v>961436.34</v>
      </c>
      <c r="BY56" s="81">
        <f>BX56/SUM('TABLE 4 - October 2016 Dataset'!F56:H56)</f>
        <v>3547.7355719557195</v>
      </c>
      <c r="BZ56" s="264">
        <f t="shared" si="30"/>
        <v>103113.26066975959</v>
      </c>
      <c r="CA56" s="81">
        <f t="shared" si="31"/>
        <v>380.4917367887806</v>
      </c>
      <c r="CB56" s="269">
        <f t="shared" si="32"/>
        <v>0.12013338934124902</v>
      </c>
      <c r="CC56" s="103"/>
      <c r="CD56" s="80">
        <f>'TABLE 5 - DfE Published Figures'!O55</f>
        <v>961000</v>
      </c>
      <c r="CE56" s="84">
        <f t="shared" si="33"/>
        <v>0</v>
      </c>
      <c r="CF56" s="81"/>
      <c r="CG56" s="81"/>
      <c r="CH56" s="81"/>
      <c r="CI56" s="81"/>
      <c r="CJ56" s="2"/>
    </row>
    <row r="57" spans="2:88" ht="15.75">
      <c r="B57" s="198">
        <v>2027</v>
      </c>
      <c r="C57" s="60" t="s">
        <v>62</v>
      </c>
      <c r="D57" s="204" t="s">
        <v>73</v>
      </c>
      <c r="F57" s="80">
        <v>392</v>
      </c>
      <c r="G57" s="163"/>
      <c r="H57" s="164">
        <v>-1</v>
      </c>
      <c r="I57" s="94">
        <f t="shared" si="0"/>
        <v>391</v>
      </c>
      <c r="J57" s="103"/>
      <c r="K57" s="80">
        <v>1331287.0435244814</v>
      </c>
      <c r="L57" s="163"/>
      <c r="M57" s="163"/>
      <c r="N57" s="94">
        <f t="shared" si="1"/>
        <v>1331287.0435244814</v>
      </c>
      <c r="O57" s="103"/>
      <c r="P57" s="80">
        <f>P$76*'TABLE 4 - October 2016 Dataset'!F57</f>
        <v>1074073.0899999999</v>
      </c>
      <c r="Q57" s="160"/>
      <c r="R57" s="161"/>
      <c r="S57" s="162">
        <f t="shared" si="10"/>
        <v>1074073.0899999999</v>
      </c>
      <c r="T57" s="165">
        <f>T$76*'TABLE 4 - October 2016 Dataset'!I57</f>
        <v>19799.999999999971</v>
      </c>
      <c r="U57" s="165">
        <f>U$76*'TABLE 4 - October 2016 Dataset'!J57</f>
        <v>60163.54838709678</v>
      </c>
      <c r="V57" s="165">
        <f>V$76*'TABLE 4 - October 2016 Dataset'!K57</f>
        <v>0</v>
      </c>
      <c r="W57" s="165">
        <f>W$76*'TABLE 4 - October 2016 Dataset'!L57</f>
        <v>0</v>
      </c>
      <c r="X57" s="165">
        <f>X$76*'TABLE 4 - October 2016 Dataset'!M57</f>
        <v>37425.744125326397</v>
      </c>
      <c r="Y57" s="165">
        <f>Y$76*'TABLE 4 - October 2016 Dataset'!N57</f>
        <v>7350.3916449086209</v>
      </c>
      <c r="Z57" s="165">
        <f>Z$76*'TABLE 4 - October 2016 Dataset'!O57</f>
        <v>0</v>
      </c>
      <c r="AA57" s="165">
        <f>AA$76*'TABLE 4 - October 2016 Dataset'!P57</f>
        <v>7554.569190600525</v>
      </c>
      <c r="AB57" s="162">
        <f t="shared" si="11"/>
        <v>132294.2533479323</v>
      </c>
      <c r="AC57" s="140">
        <f>AC$76*'TABLE 4 - October 2016 Dataset'!Q57</f>
        <v>143139.71808054947</v>
      </c>
      <c r="AD57" s="140">
        <f>AD$76*'TABLE 4 - October 2016 Dataset'!R57</f>
        <v>4271.3787878787853</v>
      </c>
      <c r="AE57" s="140">
        <f>AE$76*'TABLE 4 - October 2016 Dataset'!S57</f>
        <v>0</v>
      </c>
      <c r="AF57" s="140">
        <f t="shared" si="12"/>
        <v>110000</v>
      </c>
      <c r="AG57" s="140">
        <f>IF('TABLE 4 - October 2016 Dataset'!X57="No",0,"*CHECK*")</f>
        <v>0</v>
      </c>
      <c r="AH57" s="140">
        <f>'TABLE 4 - October 2016 Dataset'!Y57</f>
        <v>24735.41</v>
      </c>
      <c r="AI57" s="170">
        <f>IF('TABLE 4 - October 2016 Dataset'!Z57&gt;0,('TABLE 4 - October 2016 Dataset'!Z57*(1+'TABLE 1 - 2018-19 Provisional'!AI$79)*(1+AI$79))-((AI$76*SUM('TABLE 4 - October 2016 Dataset'!F57:H57))+AI$77),0)</f>
        <v>0</v>
      </c>
      <c r="AJ57" s="166" t="str">
        <f>IF('TABLE 4 - October 2016 Dataset'!AA57="Yes",'TABLE 2 - 2019-20 Illustrative'!AJ$76*SUM('TABLE 4 - October 2016 Dataset'!F57:H57),"")</f>
        <v/>
      </c>
      <c r="AK57" s="140">
        <f t="shared" si="13"/>
        <v>0</v>
      </c>
      <c r="AL57" s="94">
        <f t="shared" si="14"/>
        <v>1488513.8502163605</v>
      </c>
      <c r="AM57" s="103"/>
      <c r="AN57" s="80">
        <f t="shared" si="2"/>
        <v>1463778.4402163606</v>
      </c>
      <c r="AO57" s="165">
        <f>AN57/SUM('TABLE 4 - October 2016 Dataset'!F57:H57)</f>
        <v>3743.6788752336588</v>
      </c>
      <c r="AP57" s="165">
        <f t="shared" si="3"/>
        <v>0</v>
      </c>
      <c r="AQ57" s="165">
        <f>AP57*SUM('TABLE 4 - October 2016 Dataset'!F57:H57)</f>
        <v>0</v>
      </c>
      <c r="AR57" s="94">
        <f t="shared" si="15"/>
        <v>1488513.8502163605</v>
      </c>
      <c r="AS57" s="103"/>
      <c r="AT57" s="80">
        <f>N57-(AF57+AG57+'TABLE 4 - October 2016 Dataset'!Y57)</f>
        <v>1196551.6335244814</v>
      </c>
      <c r="AU57" s="187">
        <f t="shared" si="16"/>
        <v>1353778.4402163606</v>
      </c>
      <c r="AV57" s="165">
        <f t="shared" si="17"/>
        <v>3060.2343568401061</v>
      </c>
      <c r="AW57" s="165">
        <f>AU57/SUM('TABLE 4 - October 2016 Dataset'!F57:H57)</f>
        <v>3462.3489519600016</v>
      </c>
      <c r="AX57" s="173">
        <f t="shared" si="18"/>
        <v>0.13139993485175605</v>
      </c>
      <c r="AY57" s="173">
        <f t="shared" si="19"/>
        <v>0</v>
      </c>
      <c r="AZ57" s="175">
        <f t="shared" si="20"/>
        <v>0</v>
      </c>
      <c r="BA57" s="165">
        <f t="shared" si="21"/>
        <v>0</v>
      </c>
      <c r="BB57" s="94">
        <f t="shared" si="22"/>
        <v>1488513.8502163605</v>
      </c>
      <c r="BC57" s="103"/>
      <c r="BD57" s="184">
        <f>'TABLE 1 - 2018-19 Provisional'!BR57-('TABLE 2 - 2019-20 Illustrative'!AF57+'TABLE 2 - 2019-20 Illustrative'!AG57+'TABLE 1 - 2018-19 Provisional'!AH57)</f>
        <v>1232448.1825302159</v>
      </c>
      <c r="BE57" s="165">
        <f>BD57/SUM('TABLE 4 - October 2016 Dataset'!F57:H57)</f>
        <v>3152.0413875453091</v>
      </c>
      <c r="BF57" s="173">
        <f t="shared" si="23"/>
        <v>3.0000000000000027E-2</v>
      </c>
      <c r="BG57" s="173">
        <f t="shared" si="24"/>
        <v>9.8446538691025376E-2</v>
      </c>
      <c r="BH57" s="173">
        <f>'TABLE 1 - 2018-19 Provisional'!BF57</f>
        <v>0.13139993485175605</v>
      </c>
      <c r="BI57" s="185">
        <f t="shared" si="34"/>
        <v>1.9689307738205077E-2</v>
      </c>
      <c r="BJ57" s="185">
        <f t="shared" si="39"/>
        <v>0.03</v>
      </c>
      <c r="BK57" s="173">
        <f t="shared" si="35"/>
        <v>-6.8446538691025377E-2</v>
      </c>
      <c r="BL57" s="175">
        <f t="shared" si="36"/>
        <v>-215.74632278833332</v>
      </c>
      <c r="BM57" s="165">
        <f>BL57*SUM('TABLE 4 - October 2016 Dataset'!F57:H57)</f>
        <v>-84356.81221023832</v>
      </c>
      <c r="BN57" s="94">
        <f t="shared" si="37"/>
        <v>1404157.0380061222</v>
      </c>
      <c r="BO57" s="103"/>
      <c r="BP57" s="179">
        <f t="shared" si="38"/>
        <v>1379421.6280061223</v>
      </c>
      <c r="BQ57" s="175">
        <f>BP57/SUM('TABLE 4 - October 2016 Dataset'!F57:H57)</f>
        <v>3527.9325524453257</v>
      </c>
      <c r="BR57" s="175">
        <f t="shared" si="25"/>
        <v>0</v>
      </c>
      <c r="BS57" s="175">
        <f>BR57*SUM('TABLE 4 - October 2016 Dataset'!F57:H57)</f>
        <v>0</v>
      </c>
      <c r="BT57" s="94">
        <f t="shared" si="26"/>
        <v>1404157.0380061222</v>
      </c>
      <c r="BU57" s="103"/>
      <c r="BV57" s="80">
        <f t="shared" si="27"/>
        <v>1331287.0435244814</v>
      </c>
      <c r="BW57" s="122">
        <f t="shared" si="28"/>
        <v>3404.8261982723307</v>
      </c>
      <c r="BX57" s="264">
        <f t="shared" si="29"/>
        <v>1404157.0380061222</v>
      </c>
      <c r="BY57" s="81">
        <f>BX57/SUM('TABLE 4 - October 2016 Dataset'!F57:H57)</f>
        <v>3591.194470603893</v>
      </c>
      <c r="BZ57" s="264">
        <f t="shared" si="30"/>
        <v>72869.994481640868</v>
      </c>
      <c r="CA57" s="81">
        <f t="shared" si="31"/>
        <v>186.36827233156237</v>
      </c>
      <c r="CB57" s="269">
        <f t="shared" si="32"/>
        <v>5.47365009192331E-2</v>
      </c>
      <c r="CC57" s="103"/>
      <c r="CD57" s="80">
        <f>'TABLE 5 - DfE Published Figures'!O56</f>
        <v>1393000</v>
      </c>
      <c r="CE57" s="84">
        <f t="shared" si="33"/>
        <v>11000</v>
      </c>
      <c r="CF57" s="81"/>
      <c r="CG57" s="81"/>
      <c r="CH57" s="81"/>
      <c r="CI57" s="81"/>
      <c r="CJ57" s="2"/>
    </row>
    <row r="58" spans="2:88" ht="15.75">
      <c r="B58" s="198">
        <v>2015</v>
      </c>
      <c r="C58" s="60" t="s">
        <v>63</v>
      </c>
      <c r="D58" s="204"/>
      <c r="F58" s="80">
        <v>367</v>
      </c>
      <c r="G58" s="163"/>
      <c r="H58" s="164">
        <v>0</v>
      </c>
      <c r="I58" s="94">
        <f t="shared" si="0"/>
        <v>367</v>
      </c>
      <c r="J58" s="103"/>
      <c r="K58" s="80">
        <v>1293727.8776638319</v>
      </c>
      <c r="L58" s="163"/>
      <c r="M58" s="163"/>
      <c r="N58" s="94">
        <f t="shared" si="1"/>
        <v>1293727.8776638319</v>
      </c>
      <c r="O58" s="103"/>
      <c r="P58" s="80">
        <f>P$76*'TABLE 4 - October 2016 Dataset'!F58</f>
        <v>1008145.33</v>
      </c>
      <c r="Q58" s="160"/>
      <c r="R58" s="161"/>
      <c r="S58" s="162">
        <f t="shared" si="10"/>
        <v>1008145.33</v>
      </c>
      <c r="T58" s="165">
        <f>T$76*'TABLE 4 - October 2016 Dataset'!I58</f>
        <v>24200.000000000055</v>
      </c>
      <c r="U58" s="165">
        <f>U$76*'TABLE 4 - October 2016 Dataset'!J58</f>
        <v>61643.197674418603</v>
      </c>
      <c r="V58" s="165">
        <f>V$76*'TABLE 4 - October 2016 Dataset'!K58</f>
        <v>0</v>
      </c>
      <c r="W58" s="165">
        <f>W$76*'TABLE 4 - October 2016 Dataset'!L58</f>
        <v>0</v>
      </c>
      <c r="X58" s="165">
        <f>X$76*'TABLE 4 - October 2016 Dataset'!M58</f>
        <v>391.06557377049177</v>
      </c>
      <c r="Y58" s="165">
        <f>Y$76*'TABLE 4 - October 2016 Dataset'!N58</f>
        <v>35376.393442622946</v>
      </c>
      <c r="Z58" s="165">
        <f>Z$76*'TABLE 4 - October 2016 Dataset'!O58</f>
        <v>240.65573770491801</v>
      </c>
      <c r="AA58" s="165">
        <f>AA$76*'TABLE 4 - October 2016 Dataset'!P58</f>
        <v>15642.622950819698</v>
      </c>
      <c r="AB58" s="162">
        <f t="shared" si="11"/>
        <v>137493.9353793367</v>
      </c>
      <c r="AC58" s="140">
        <f>AC$76*'TABLE 4 - October 2016 Dataset'!Q58</f>
        <v>145152.44315943267</v>
      </c>
      <c r="AD58" s="140">
        <f>AD$76*'TABLE 4 - October 2016 Dataset'!R58</f>
        <v>13844.315286624204</v>
      </c>
      <c r="AE58" s="140">
        <f>AE$76*'TABLE 4 - October 2016 Dataset'!S58</f>
        <v>924.29999999998108</v>
      </c>
      <c r="AF58" s="140">
        <f t="shared" si="12"/>
        <v>110000</v>
      </c>
      <c r="AG58" s="140">
        <f>IF('TABLE 4 - October 2016 Dataset'!X58="No",0,"*CHECK*")</f>
        <v>0</v>
      </c>
      <c r="AH58" s="140">
        <f>'TABLE 4 - October 2016 Dataset'!Y58</f>
        <v>18622.64</v>
      </c>
      <c r="AI58" s="170">
        <f>IF('TABLE 4 - October 2016 Dataset'!Z58&gt;0,('TABLE 4 - October 2016 Dataset'!Z58*(1+'TABLE 1 - 2018-19 Provisional'!AI$79)*(1+AI$79))-((AI$76*SUM('TABLE 4 - October 2016 Dataset'!F58:H58))+AI$77),0)</f>
        <v>0</v>
      </c>
      <c r="AJ58" s="166" t="str">
        <f>IF('TABLE 4 - October 2016 Dataset'!AA58="Yes",'TABLE 2 - 2019-20 Illustrative'!AJ$76*SUM('TABLE 4 - October 2016 Dataset'!F58:H58),"")</f>
        <v/>
      </c>
      <c r="AK58" s="140">
        <f t="shared" si="13"/>
        <v>0</v>
      </c>
      <c r="AL58" s="94">
        <f t="shared" si="14"/>
        <v>1434182.9638253935</v>
      </c>
      <c r="AM58" s="103"/>
      <c r="AN58" s="80">
        <f t="shared" si="2"/>
        <v>1415560.3238253936</v>
      </c>
      <c r="AO58" s="165">
        <f>AN58/SUM('TABLE 4 - October 2016 Dataset'!F58:H58)</f>
        <v>3857.112598979274</v>
      </c>
      <c r="AP58" s="165">
        <f t="shared" si="3"/>
        <v>0</v>
      </c>
      <c r="AQ58" s="165">
        <f>AP58*SUM('TABLE 4 - October 2016 Dataset'!F58:H58)</f>
        <v>0</v>
      </c>
      <c r="AR58" s="94">
        <f t="shared" si="15"/>
        <v>1434182.9638253935</v>
      </c>
      <c r="AS58" s="103"/>
      <c r="AT58" s="80">
        <f>N58-(AF58+AG58+'TABLE 4 - October 2016 Dataset'!Y58)</f>
        <v>1165105.237663832</v>
      </c>
      <c r="AU58" s="187">
        <f t="shared" si="16"/>
        <v>1305560.3238253936</v>
      </c>
      <c r="AV58" s="165">
        <f t="shared" si="17"/>
        <v>3174.673672108534</v>
      </c>
      <c r="AW58" s="165">
        <f>AU58/SUM('TABLE 4 - October 2016 Dataset'!F58:H58)</f>
        <v>3557.3850785433069</v>
      </c>
      <c r="AX58" s="173">
        <f t="shared" si="18"/>
        <v>0.12055141597611385</v>
      </c>
      <c r="AY58" s="173">
        <f t="shared" si="19"/>
        <v>0</v>
      </c>
      <c r="AZ58" s="175">
        <f t="shared" si="20"/>
        <v>0</v>
      </c>
      <c r="BA58" s="165">
        <f t="shared" si="21"/>
        <v>0</v>
      </c>
      <c r="BB58" s="94">
        <f t="shared" si="22"/>
        <v>1434182.9638253935</v>
      </c>
      <c r="BC58" s="103"/>
      <c r="BD58" s="184">
        <f>'TABLE 1 - 2018-19 Provisional'!BR58-('TABLE 2 - 2019-20 Illustrative'!AF58+'TABLE 2 - 2019-20 Illustrative'!AG58+'TABLE 1 - 2018-19 Provisional'!AH58)</f>
        <v>1200058.394793747</v>
      </c>
      <c r="BE58" s="165">
        <f>BD58/SUM('TABLE 4 - October 2016 Dataset'!F58:H58)</f>
        <v>3269.91388227179</v>
      </c>
      <c r="BF58" s="173">
        <f t="shared" si="23"/>
        <v>3.0000000000000027E-2</v>
      </c>
      <c r="BG58" s="173">
        <f t="shared" si="24"/>
        <v>8.7913996093314406E-2</v>
      </c>
      <c r="BH58" s="173">
        <f>'TABLE 1 - 2018-19 Provisional'!BF58</f>
        <v>0.12055141597611385</v>
      </c>
      <c r="BI58" s="185">
        <f t="shared" si="34"/>
        <v>1.7582799218662883E-2</v>
      </c>
      <c r="BJ58" s="185">
        <f t="shared" si="39"/>
        <v>0.03</v>
      </c>
      <c r="BK58" s="173">
        <f t="shared" si="35"/>
        <v>-5.7913996093314407E-2</v>
      </c>
      <c r="BL58" s="175">
        <f t="shared" si="36"/>
        <v>-189.37377980336299</v>
      </c>
      <c r="BM58" s="165">
        <f>BL58*SUM('TABLE 4 - October 2016 Dataset'!F58:H58)</f>
        <v>-69500.177187834212</v>
      </c>
      <c r="BN58" s="94">
        <f t="shared" si="37"/>
        <v>1364682.7866375593</v>
      </c>
      <c r="BO58" s="103"/>
      <c r="BP58" s="179">
        <f t="shared" si="38"/>
        <v>1346060.1466375594</v>
      </c>
      <c r="BQ58" s="175">
        <f>BP58/SUM('TABLE 4 - October 2016 Dataset'!F58:H58)</f>
        <v>3667.738819175911</v>
      </c>
      <c r="BR58" s="175">
        <f t="shared" si="25"/>
        <v>0</v>
      </c>
      <c r="BS58" s="175">
        <f>BR58*SUM('TABLE 4 - October 2016 Dataset'!F58:H58)</f>
        <v>0</v>
      </c>
      <c r="BT58" s="94">
        <f t="shared" si="26"/>
        <v>1364682.7866375593</v>
      </c>
      <c r="BU58" s="103"/>
      <c r="BV58" s="80">
        <f t="shared" si="27"/>
        <v>1293727.8776638319</v>
      </c>
      <c r="BW58" s="122">
        <f t="shared" si="28"/>
        <v>3525.1440808278799</v>
      </c>
      <c r="BX58" s="264">
        <f t="shared" si="29"/>
        <v>1364682.7866375593</v>
      </c>
      <c r="BY58" s="81">
        <f>BX58/SUM('TABLE 4 - October 2016 Dataset'!F58:H58)</f>
        <v>3718.4817074592897</v>
      </c>
      <c r="BZ58" s="264">
        <f t="shared" si="30"/>
        <v>70954.908973727375</v>
      </c>
      <c r="CA58" s="81">
        <f t="shared" si="31"/>
        <v>193.33762663140988</v>
      </c>
      <c r="CB58" s="269">
        <f t="shared" si="32"/>
        <v>5.484531190736594E-2</v>
      </c>
      <c r="CC58" s="103"/>
      <c r="CD58" s="80">
        <f>'TABLE 5 - DfE Published Figures'!O57</f>
        <v>1350000</v>
      </c>
      <c r="CE58" s="84">
        <f t="shared" si="33"/>
        <v>15000</v>
      </c>
      <c r="CF58" s="81"/>
      <c r="CG58" s="81"/>
      <c r="CH58" s="81"/>
      <c r="CI58" s="81"/>
      <c r="CJ58" s="2"/>
    </row>
    <row r="59" spans="2:88" ht="5.0999999999999996" customHeight="1">
      <c r="B59" s="198"/>
      <c r="C59" s="60"/>
      <c r="D59" s="204"/>
      <c r="F59" s="80"/>
      <c r="G59" s="108"/>
      <c r="H59" s="108"/>
      <c r="I59" s="94"/>
      <c r="J59" s="103"/>
      <c r="K59" s="80"/>
      <c r="L59" s="108"/>
      <c r="M59" s="108"/>
      <c r="N59" s="94"/>
      <c r="O59" s="103"/>
      <c r="P59" s="80"/>
      <c r="Q59" s="81"/>
      <c r="R59" s="122"/>
      <c r="S59" s="129"/>
      <c r="T59" s="81"/>
      <c r="U59" s="81"/>
      <c r="V59" s="81"/>
      <c r="W59" s="81"/>
      <c r="X59" s="81"/>
      <c r="Y59" s="81"/>
      <c r="Z59" s="108"/>
      <c r="AA59" s="108"/>
      <c r="AB59" s="129"/>
      <c r="AC59" s="140"/>
      <c r="AD59" s="140"/>
      <c r="AE59" s="140"/>
      <c r="AF59" s="140"/>
      <c r="AG59" s="140"/>
      <c r="AH59" s="140"/>
      <c r="AI59" s="140"/>
      <c r="AJ59" s="140"/>
      <c r="AK59" s="140"/>
      <c r="AL59" s="94"/>
      <c r="AM59" s="103"/>
      <c r="AN59" s="80"/>
      <c r="AO59" s="108"/>
      <c r="AP59" s="108"/>
      <c r="AQ59" s="108"/>
      <c r="AR59" s="94"/>
      <c r="AS59" s="103"/>
      <c r="AT59" s="80"/>
      <c r="AU59" s="108"/>
      <c r="AV59" s="108"/>
      <c r="AW59" s="108"/>
      <c r="AX59" s="108"/>
      <c r="AY59" s="108"/>
      <c r="AZ59" s="108"/>
      <c r="BA59" s="108"/>
      <c r="BB59" s="94"/>
      <c r="BC59" s="103"/>
      <c r="BD59" s="186"/>
      <c r="BE59" s="108"/>
      <c r="BF59" s="81"/>
      <c r="BG59" s="81"/>
      <c r="BH59" s="81"/>
      <c r="BI59" s="108"/>
      <c r="BJ59" s="108"/>
      <c r="BK59" s="108"/>
      <c r="BL59" s="108"/>
      <c r="BM59" s="108"/>
      <c r="BN59" s="94"/>
      <c r="BO59" s="103"/>
      <c r="BP59" s="80"/>
      <c r="BQ59" s="108"/>
      <c r="BR59" s="108"/>
      <c r="BS59" s="108"/>
      <c r="BT59" s="94"/>
      <c r="BU59" s="103"/>
      <c r="BV59" s="188"/>
      <c r="BW59" s="261"/>
      <c r="BX59" s="265"/>
      <c r="BY59" s="212"/>
      <c r="BZ59" s="265"/>
      <c r="CA59" s="212"/>
      <c r="CB59" s="84"/>
      <c r="CC59" s="103"/>
      <c r="CD59" s="188"/>
      <c r="CE59" s="84"/>
      <c r="CF59" s="81"/>
      <c r="CG59" s="81"/>
      <c r="CH59" s="81"/>
      <c r="CI59" s="81"/>
      <c r="CJ59" s="2"/>
    </row>
    <row r="60" spans="2:88" s="104" customFormat="1" ht="15.75">
      <c r="B60" s="205"/>
      <c r="C60" s="85" t="s">
        <v>167</v>
      </c>
      <c r="D60" s="206"/>
      <c r="E60" s="86"/>
      <c r="F60" s="87">
        <f>SUM(F8:F59)</f>
        <v>13737</v>
      </c>
      <c r="G60" s="109">
        <f>SUM(G8:G59)</f>
        <v>13</v>
      </c>
      <c r="H60" s="109">
        <f>SUM(H8:H59)</f>
        <v>-28</v>
      </c>
      <c r="I60" s="89">
        <f>SUM(I8:I59)</f>
        <v>13722</v>
      </c>
      <c r="J60" s="103"/>
      <c r="K60" s="87">
        <f>SUM(K8:K59)</f>
        <v>48114894.574794494</v>
      </c>
      <c r="L60" s="109">
        <f>SUM(L8:L59)</f>
        <v>46866.80025</v>
      </c>
      <c r="M60" s="109">
        <f>SUM(M8:M59)</f>
        <v>88413.836666667019</v>
      </c>
      <c r="N60" s="89">
        <f>SUM(N8:N59)</f>
        <v>48250175.211711168</v>
      </c>
      <c r="O60" s="103"/>
      <c r="P60" s="87">
        <f>SUM(P8:P59)</f>
        <v>37694196.780000001</v>
      </c>
      <c r="Q60" s="88">
        <f t="shared" ref="Q60:AK60" si="40">SUM(Q8:Q59)</f>
        <v>0</v>
      </c>
      <c r="R60" s="123">
        <f t="shared" si="40"/>
        <v>0</v>
      </c>
      <c r="S60" s="130">
        <f t="shared" si="40"/>
        <v>37694196.780000001</v>
      </c>
      <c r="T60" s="88">
        <f t="shared" si="40"/>
        <v>487960.00000000041</v>
      </c>
      <c r="U60" s="88">
        <f t="shared" si="40"/>
        <v>1249500.2014358598</v>
      </c>
      <c r="V60" s="88">
        <f t="shared" si="40"/>
        <v>0</v>
      </c>
      <c r="W60" s="88">
        <f t="shared" si="40"/>
        <v>179442.96541211248</v>
      </c>
      <c r="X60" s="88">
        <f t="shared" si="40"/>
        <v>225975.48366996238</v>
      </c>
      <c r="Y60" s="88">
        <f t="shared" si="40"/>
        <v>267495.8894059977</v>
      </c>
      <c r="Z60" s="88">
        <f t="shared" si="40"/>
        <v>59976.540594302278</v>
      </c>
      <c r="AA60" s="88">
        <f t="shared" si="40"/>
        <v>276104.96070689493</v>
      </c>
      <c r="AB60" s="130">
        <f t="shared" si="40"/>
        <v>2746456.0412251297</v>
      </c>
      <c r="AC60" s="130">
        <f t="shared" si="40"/>
        <v>4087223.1425404581</v>
      </c>
      <c r="AD60" s="130">
        <f t="shared" si="40"/>
        <v>406213.68348489451</v>
      </c>
      <c r="AE60" s="130">
        <f t="shared" si="40"/>
        <v>51547.500000000131</v>
      </c>
      <c r="AF60" s="130">
        <f t="shared" si="40"/>
        <v>5500000</v>
      </c>
      <c r="AG60" s="130">
        <f t="shared" si="40"/>
        <v>0</v>
      </c>
      <c r="AH60" s="130">
        <f t="shared" si="40"/>
        <v>738826.89</v>
      </c>
      <c r="AI60" s="130">
        <f t="shared" si="40"/>
        <v>635191.99927499983</v>
      </c>
      <c r="AJ60" s="130">
        <f t="shared" si="40"/>
        <v>59796</v>
      </c>
      <c r="AK60" s="130">
        <f t="shared" si="40"/>
        <v>0</v>
      </c>
      <c r="AL60" s="89">
        <f>SUM(AL8:AL59)</f>
        <v>51919452.036525473</v>
      </c>
      <c r="AM60" s="103"/>
      <c r="AN60" s="87">
        <f>SUM(AN8:AN59)</f>
        <v>50485637.147250503</v>
      </c>
      <c r="AO60" s="88">
        <f>AN60/SUM('TABLE 4 - October 2016 Dataset'!F60:H60)</f>
        <v>3679.1748394731458</v>
      </c>
      <c r="AP60" s="88">
        <f t="shared" si="3"/>
        <v>0</v>
      </c>
      <c r="AQ60" s="123">
        <f>SUM(AQ8:AQ59)</f>
        <v>774819.60223515902</v>
      </c>
      <c r="AR60" s="89">
        <f>SUM(AR8:AR59)</f>
        <v>52694271.638760641</v>
      </c>
      <c r="AS60" s="103"/>
      <c r="AT60" s="87">
        <f>SUM(AT8:AT59)</f>
        <v>42011348.321711153</v>
      </c>
      <c r="AU60" s="88">
        <f>SUM(AU8:AU59)</f>
        <v>46455444.748760656</v>
      </c>
      <c r="AV60" s="88">
        <f>AT60/I60</f>
        <v>3061.6053287939917</v>
      </c>
      <c r="AW60" s="88">
        <f>AU60/I60</f>
        <v>3385.471851680561</v>
      </c>
      <c r="AX60" s="174">
        <f>(AW60/AV60)-1</f>
        <v>0.10578323725812977</v>
      </c>
      <c r="AY60" s="174">
        <f>IF(AX60&lt;AY$76,AY$76-AX60,0)</f>
        <v>0</v>
      </c>
      <c r="AZ60" s="88">
        <f>AY60*AV60</f>
        <v>0</v>
      </c>
      <c r="BA60" s="123">
        <f>SUM(BA8:BA59)</f>
        <v>77234.573292396846</v>
      </c>
      <c r="BB60" s="89">
        <f>SUM(BB8:BB59)</f>
        <v>52771506.212053046</v>
      </c>
      <c r="BC60" s="103"/>
      <c r="BD60" s="87">
        <f>SUM(BD8:BD59)</f>
        <v>44105783.339662045</v>
      </c>
      <c r="BE60" s="88">
        <f>BD60/SUM('TABLE 4 - October 2016 Dataset'!F60:H60)</f>
        <v>3214.2386925857782</v>
      </c>
      <c r="BF60" s="174">
        <f t="shared" ref="BF60" si="41">(BE60/AV60)-1</f>
        <v>4.985402996143562E-2</v>
      </c>
      <c r="BG60" s="174">
        <f t="shared" ref="BG60" si="42">(AW60/BE60)-1</f>
        <v>5.3273317718986801E-2</v>
      </c>
      <c r="BH60" s="174">
        <f>'TABLE 1 - 2018-19 Provisional'!BF60</f>
        <v>0.10578323725812977</v>
      </c>
      <c r="BI60" s="174">
        <f>IF(BH60&gt;AY$76,BI$76*BG60,"            NA")</f>
        <v>1.0654663543797361E-2</v>
      </c>
      <c r="BJ60" s="174">
        <f>IF(BH60&gt;AY$76,IF(BI60&gt;BJ$76,BI60,IF(BG60&lt;BJ$76,BG60,BJ$76)),AY$76)</f>
        <v>0.03</v>
      </c>
      <c r="BK60" s="174">
        <f>IF(BG60&gt;BJ60,BJ60-BG60,0)</f>
        <v>-2.3273317718986802E-2</v>
      </c>
      <c r="BL60" s="178">
        <f>BK60*BE60</f>
        <v>-74.805998317209571</v>
      </c>
      <c r="BM60" s="177">
        <f>SUM(BM8:BM59)</f>
        <v>-1240220.1448348891</v>
      </c>
      <c r="BN60" s="89">
        <f>SUM(BN8:BN59)</f>
        <v>51531286.067218147</v>
      </c>
      <c r="BO60" s="103"/>
      <c r="BP60" s="87">
        <f>SUM(BP8:BP59)</f>
        <v>50097471.177943163</v>
      </c>
      <c r="BQ60" s="88">
        <f>BP60/SUM('TABLE 4 - October 2016 Dataset'!F60:H60)</f>
        <v>3650.8869827971989</v>
      </c>
      <c r="BR60" s="88">
        <f t="shared" si="25"/>
        <v>0</v>
      </c>
      <c r="BS60" s="123">
        <f>SUM(BS8:BS59)</f>
        <v>620800.18756704091</v>
      </c>
      <c r="BT60" s="89">
        <f>SUM(BT8:BT59)</f>
        <v>52152086.254785188</v>
      </c>
      <c r="BU60" s="103"/>
      <c r="BV60" s="87">
        <f>SUM(BV8:BV59)</f>
        <v>48250175.211711168</v>
      </c>
      <c r="BW60" s="123">
        <f t="shared" si="28"/>
        <v>3516.2640439958582</v>
      </c>
      <c r="BX60" s="266">
        <f>SUM(BX8:BX59)</f>
        <v>52152086.254785188</v>
      </c>
      <c r="BY60" s="88">
        <f>BX60/SUM('TABLE 4 - October 2016 Dataset'!F60:H60)</f>
        <v>3800.6184415380549</v>
      </c>
      <c r="BZ60" s="266">
        <f>SUM(BZ8:BZ59)</f>
        <v>3901911.0430740267</v>
      </c>
      <c r="CA60" s="88">
        <f t="shared" ref="CA60" si="43">BY60-BW60</f>
        <v>284.35439754219669</v>
      </c>
      <c r="CB60" s="270">
        <f t="shared" si="32"/>
        <v>8.0868328994729968E-2</v>
      </c>
      <c r="CC60" s="103"/>
      <c r="CD60" s="87">
        <f>SUM(CD8:CD59)</f>
        <v>52068000</v>
      </c>
      <c r="CE60" s="90">
        <f>SUM(CE8:CE59)</f>
        <v>79000</v>
      </c>
      <c r="CF60" s="83"/>
      <c r="CG60" s="83"/>
      <c r="CH60" s="83"/>
      <c r="CI60" s="83"/>
      <c r="CJ60" s="2"/>
    </row>
    <row r="61" spans="2:88" ht="24.95" customHeight="1">
      <c r="B61" s="198"/>
      <c r="C61" s="92" t="s">
        <v>168</v>
      </c>
      <c r="D61" s="207"/>
      <c r="E61" s="92"/>
      <c r="F61" s="80"/>
      <c r="G61" s="108"/>
      <c r="H61" s="108"/>
      <c r="I61" s="94"/>
      <c r="J61" s="103"/>
      <c r="K61" s="80"/>
      <c r="L61" s="108"/>
      <c r="M61" s="108"/>
      <c r="N61" s="94"/>
      <c r="O61" s="103"/>
      <c r="P61" s="80"/>
      <c r="Q61" s="81"/>
      <c r="R61" s="122"/>
      <c r="S61" s="129"/>
      <c r="T61" s="81"/>
      <c r="U61" s="81"/>
      <c r="V61" s="81"/>
      <c r="W61" s="81"/>
      <c r="X61" s="81"/>
      <c r="Y61" s="81"/>
      <c r="Z61" s="108"/>
      <c r="AA61" s="108"/>
      <c r="AB61" s="129"/>
      <c r="AC61" s="140"/>
      <c r="AD61" s="140"/>
      <c r="AE61" s="140"/>
      <c r="AF61" s="140"/>
      <c r="AG61" s="140"/>
      <c r="AH61" s="140"/>
      <c r="AI61" s="140"/>
      <c r="AJ61" s="140"/>
      <c r="AK61" s="140"/>
      <c r="AL61" s="94"/>
      <c r="AM61" s="103"/>
      <c r="AN61" s="80"/>
      <c r="AO61" s="108"/>
      <c r="AP61" s="108"/>
      <c r="AQ61" s="108"/>
      <c r="AR61" s="94"/>
      <c r="AS61" s="103"/>
      <c r="AT61" s="80"/>
      <c r="AU61" s="108"/>
      <c r="AV61" s="108"/>
      <c r="AW61" s="108"/>
      <c r="AX61" s="108"/>
      <c r="AY61" s="108"/>
      <c r="AZ61" s="108"/>
      <c r="BA61" s="108"/>
      <c r="BB61" s="94"/>
      <c r="BC61" s="103"/>
      <c r="BD61" s="186"/>
      <c r="BE61" s="108"/>
      <c r="BF61" s="81"/>
      <c r="BG61" s="81"/>
      <c r="BH61" s="81"/>
      <c r="BI61" s="108"/>
      <c r="BJ61" s="108"/>
      <c r="BK61" s="108"/>
      <c r="BL61" s="108"/>
      <c r="BM61" s="108"/>
      <c r="BN61" s="94"/>
      <c r="BO61" s="103"/>
      <c r="BP61" s="80"/>
      <c r="BQ61" s="108"/>
      <c r="BR61" s="108"/>
      <c r="BS61" s="108"/>
      <c r="BT61" s="94"/>
      <c r="BU61" s="103"/>
      <c r="BV61" s="80"/>
      <c r="BW61" s="122"/>
      <c r="BX61" s="264"/>
      <c r="BY61" s="81"/>
      <c r="BZ61" s="264"/>
      <c r="CA61" s="81"/>
      <c r="CB61" s="84"/>
      <c r="CC61" s="103"/>
      <c r="CD61" s="80"/>
      <c r="CE61" s="84"/>
      <c r="CF61" s="81"/>
      <c r="CG61" s="81"/>
      <c r="CH61" s="81"/>
      <c r="CI61" s="81"/>
      <c r="CJ61" s="2"/>
    </row>
    <row r="62" spans="2:88" ht="15.75">
      <c r="B62" s="198">
        <v>4702</v>
      </c>
      <c r="C62" s="60" t="s">
        <v>10</v>
      </c>
      <c r="D62" s="204"/>
      <c r="F62" s="80">
        <v>892</v>
      </c>
      <c r="G62" s="163"/>
      <c r="H62" s="163"/>
      <c r="I62" s="94">
        <f t="shared" ref="I62:I70" si="44">SUM(F62:H62)</f>
        <v>892</v>
      </c>
      <c r="J62" s="103"/>
      <c r="K62" s="80">
        <v>4233037.7352194302</v>
      </c>
      <c r="L62" s="163"/>
      <c r="M62" s="163"/>
      <c r="N62" s="94">
        <f t="shared" ref="N62:N68" si="45">SUM(K62:M62)</f>
        <v>4233037.7352194302</v>
      </c>
      <c r="O62" s="103"/>
      <c r="P62" s="159"/>
      <c r="Q62" s="81">
        <f>Q$78*'TABLE 4 - October 2016 Dataset'!G62</f>
        <v>2016303.3</v>
      </c>
      <c r="R62" s="122">
        <f>R$78*'TABLE 4 - October 2016 Dataset'!H62</f>
        <v>1622749.7000000002</v>
      </c>
      <c r="S62" s="162">
        <f t="shared" ref="S62" si="46">SUM(P62:R62)</f>
        <v>3639053</v>
      </c>
      <c r="T62" s="165">
        <f>T$78*'TABLE 4 - October 2016 Dataset'!I62</f>
        <v>19360.000000000004</v>
      </c>
      <c r="U62" s="165">
        <f>U$78*'TABLE 4 - October 2016 Dataset'!J62</f>
        <v>93257.291196388251</v>
      </c>
      <c r="V62" s="165">
        <f>V$78*'TABLE 4 - October 2016 Dataset'!K62</f>
        <v>0</v>
      </c>
      <c r="W62" s="165">
        <f>W$78*'TABLE 4 - October 2016 Dataset'!L62</f>
        <v>8456.8848758465192</v>
      </c>
      <c r="X62" s="165">
        <f>X$78*'TABLE 4 - October 2016 Dataset'!M62</f>
        <v>13531.015801354408</v>
      </c>
      <c r="Y62" s="165">
        <f>Y$78*'TABLE 4 - October 2016 Dataset'!N62</f>
        <v>15036.139954853274</v>
      </c>
      <c r="Z62" s="165">
        <f>Z$78*'TABLE 4 - October 2016 Dataset'!O62</f>
        <v>8638.1038374717955</v>
      </c>
      <c r="AA62" s="165">
        <f>AA$78*'TABLE 4 - October 2016 Dataset'!P62</f>
        <v>29196.38826185096</v>
      </c>
      <c r="AB62" s="162">
        <f t="shared" ref="AB62" si="47">SUM(T62:AA62)</f>
        <v>187475.82392776522</v>
      </c>
      <c r="AC62" s="140">
        <f>AC$78*'TABLE 4 - October 2016 Dataset'!Q62</f>
        <v>230151.63281032039</v>
      </c>
      <c r="AD62" s="140">
        <f>AD$78*'TABLE 4 - October 2016 Dataset'!R62</f>
        <v>40345.923423423475</v>
      </c>
      <c r="AE62" s="140">
        <f>AE$78*'TABLE 4 - October 2016 Dataset'!S62</f>
        <v>0</v>
      </c>
      <c r="AF62" s="140">
        <f>AF$78</f>
        <v>110000</v>
      </c>
      <c r="AG62" s="140">
        <f>IF('TABLE 4 - October 2016 Dataset'!X62="No",0,"*CHECK*")</f>
        <v>0</v>
      </c>
      <c r="AH62" s="140">
        <f>'TABLE 4 - October 2016 Dataset'!Y62</f>
        <v>23801.78</v>
      </c>
      <c r="AI62" s="170">
        <f>IF('TABLE 4 - October 2016 Dataset'!Z62&gt;0,('TABLE 4 - October 2016 Dataset'!Z62*(1+'TABLE 1 - 2018-19 Provisional'!AI$79)*(1+AI$79))-((AI$76*SUM('TABLE 4 - October 2016 Dataset'!F62:H62))+AI$77),0)</f>
        <v>0</v>
      </c>
      <c r="AJ62" s="140">
        <f>IF('TABLE 4 - October 2016 Dataset'!AA62="Yes",'TABLE 2 - 2019-20 Illustrative'!AJ$78*SUM('TABLE 4 - October 2016 Dataset'!F62:H62),"")</f>
        <v>176616</v>
      </c>
      <c r="AK62" s="140">
        <f>AK$78*SUM(S62,AB62:AJ62)</f>
        <v>0</v>
      </c>
      <c r="AL62" s="94">
        <f t="shared" ref="AL62:AL70" si="48">SUM(S62,AB62:AK62)</f>
        <v>4407444.1601615092</v>
      </c>
      <c r="AM62" s="103"/>
      <c r="AN62" s="80">
        <f>AL62-SUM(AH62:AJ62)</f>
        <v>4207026.3801615089</v>
      </c>
      <c r="AO62" s="165">
        <f>AN62/SUM('TABLE 4 - October 2016 Dataset'!F62:H62)</f>
        <v>4716.3972871765791</v>
      </c>
      <c r="AP62" s="165">
        <f>IF(AO62&lt;AP$78,AP$78-AO62,0)</f>
        <v>83.602712823420916</v>
      </c>
      <c r="AQ62" s="165">
        <f>AP62*SUM('TABLE 4 - October 2016 Dataset'!F62:H62)</f>
        <v>74573.619838491461</v>
      </c>
      <c r="AR62" s="94">
        <f>AL62+AQ62</f>
        <v>4482017.78</v>
      </c>
      <c r="AS62" s="103"/>
      <c r="AT62" s="80">
        <f>N62-(AF62+AG62+'TABLE 4 - October 2016 Dataset'!Y62)</f>
        <v>4099235.9552194304</v>
      </c>
      <c r="AU62" s="187">
        <f>AR62-(AF62+AG62+AH62)</f>
        <v>4348216</v>
      </c>
      <c r="AV62" s="165">
        <f>AT62/I62</f>
        <v>4595.5560036092265</v>
      </c>
      <c r="AW62" s="165">
        <f>AU62/SUM('TABLE 4 - October 2016 Dataset'!F62:H62)</f>
        <v>4874.6816143497754</v>
      </c>
      <c r="AX62" s="173">
        <f>(AW62/AV62)-1</f>
        <v>6.073815889118328E-2</v>
      </c>
      <c r="AY62" s="173">
        <f>IF(AX62&lt;AY$78,AY$78-AX62,0)</f>
        <v>0</v>
      </c>
      <c r="AZ62" s="175">
        <f>AY62*AV62</f>
        <v>0</v>
      </c>
      <c r="BA62" s="165">
        <f>AZ62*I62</f>
        <v>0</v>
      </c>
      <c r="BB62" s="94">
        <f>AR62+BA62</f>
        <v>4482017.78</v>
      </c>
      <c r="BC62" s="103"/>
      <c r="BD62" s="184">
        <f>'TABLE 1 - 2018-19 Provisional'!BR62-('TABLE 2 - 2019-20 Illustrative'!AF62+'TABLE 2 - 2019-20 Illustrative'!AG62+'TABLE 1 - 2018-19 Provisional'!AH62)</f>
        <v>4222213.033876013</v>
      </c>
      <c r="BE62" s="165">
        <f>BD62/SUM('TABLE 4 - October 2016 Dataset'!F62:H62)</f>
        <v>4733.4226837175038</v>
      </c>
      <c r="BF62" s="173">
        <f>(BE62/AV62)-1</f>
        <v>3.0000000000000027E-2</v>
      </c>
      <c r="BG62" s="173">
        <f>(AW62/BE62)-1</f>
        <v>2.9842872709886725E-2</v>
      </c>
      <c r="BH62" s="173">
        <f>'TABLE 1 - 2018-19 Provisional'!BF62</f>
        <v>6.073815889118328E-2</v>
      </c>
      <c r="BI62" s="185">
        <f>IF(BH62&gt;AY$78,BI$78*BG62,"            NA")</f>
        <v>5.9685745419773457E-3</v>
      </c>
      <c r="BJ62" s="185">
        <f>IF(BH62&gt;AY$78,IF(BI62&gt;BJ$78,BI62,IF(BG62&lt;BJ$78,BG62,BJ$78)),AY$78/2)</f>
        <v>2.9842872709886725E-2</v>
      </c>
      <c r="BK62" s="173">
        <f t="shared" ref="BK62" si="49">IF(BG62&gt;BJ62,BJ62-BG62,0)</f>
        <v>0</v>
      </c>
      <c r="BL62" s="175">
        <f t="shared" ref="BL62" si="50">BK62*BE62</f>
        <v>0</v>
      </c>
      <c r="BM62" s="165">
        <f>BL62*SUM('TABLE 4 - October 2016 Dataset'!F62:H62)</f>
        <v>0</v>
      </c>
      <c r="BN62" s="94">
        <f t="shared" ref="BN62:BN70" si="51">BB62+BM62</f>
        <v>4482017.78</v>
      </c>
      <c r="BO62" s="103"/>
      <c r="BP62" s="179">
        <f t="shared" ref="BP62:BP70" si="52">BN62-SUM(AH62:AJ62)</f>
        <v>4281600</v>
      </c>
      <c r="BQ62" s="175">
        <f>BP62/SUM('TABLE 4 - October 2016 Dataset'!F62:H62)</f>
        <v>4800</v>
      </c>
      <c r="BR62" s="175">
        <f>IF(BQ62&lt;BR$78,BR$78-BQ62,0)</f>
        <v>0</v>
      </c>
      <c r="BS62" s="175">
        <f>BR62*SUM('TABLE 4 - October 2016 Dataset'!F62:H62)</f>
        <v>0</v>
      </c>
      <c r="BT62" s="94">
        <f t="shared" ref="BT62:BT70" si="53">BN62+BS62</f>
        <v>4482017.78</v>
      </c>
      <c r="BU62" s="103"/>
      <c r="BV62" s="80">
        <f t="shared" ref="BV62:BV70" si="54">N62</f>
        <v>4233037.7352194302</v>
      </c>
      <c r="BW62" s="122">
        <f t="shared" ref="BW62:BW70" si="55">BV62/I62</f>
        <v>4745.5579991249215</v>
      </c>
      <c r="BX62" s="264">
        <f t="shared" ref="BX62:BX70" si="56">BT62</f>
        <v>4482017.78</v>
      </c>
      <c r="BY62" s="81">
        <f>BX62/SUM('TABLE 4 - October 2016 Dataset'!F62:H62)</f>
        <v>5024.6836098654712</v>
      </c>
      <c r="BZ62" s="264">
        <f t="shared" ref="BZ62:BZ70" si="57">BX62-BV62</f>
        <v>248980.04478057008</v>
      </c>
      <c r="CA62" s="81">
        <f t="shared" ref="CA62:CA70" si="58">BY62-BW62</f>
        <v>279.12561074054975</v>
      </c>
      <c r="CB62" s="269">
        <f t="shared" ref="CB62:CB70" si="59">CA62/BW62</f>
        <v>5.8818290871594105E-2</v>
      </c>
      <c r="CC62" s="103"/>
      <c r="CD62" s="80">
        <f>'TABLE 5 - DfE Published Figures'!O61</f>
        <v>4482000</v>
      </c>
      <c r="CE62" s="84">
        <f t="shared" ref="CE62:CE70" si="60">ROUND(BT62,-3)-CD62</f>
        <v>0</v>
      </c>
      <c r="CF62" s="81"/>
      <c r="CG62" s="81"/>
      <c r="CH62" s="81"/>
      <c r="CI62" s="81"/>
      <c r="CJ62" s="2"/>
    </row>
    <row r="63" spans="2:88" ht="15.75">
      <c r="B63" s="198">
        <v>4500</v>
      </c>
      <c r="C63" s="60" t="s">
        <v>12</v>
      </c>
      <c r="D63" s="204" t="s">
        <v>70</v>
      </c>
      <c r="F63" s="80">
        <v>1119</v>
      </c>
      <c r="G63" s="163"/>
      <c r="H63" s="163"/>
      <c r="I63" s="94">
        <f t="shared" si="44"/>
        <v>1119</v>
      </c>
      <c r="J63" s="103"/>
      <c r="K63" s="80">
        <v>5195274.0768973688</v>
      </c>
      <c r="L63" s="163"/>
      <c r="M63" s="163"/>
      <c r="N63" s="94">
        <f t="shared" si="45"/>
        <v>5195274.0768973688</v>
      </c>
      <c r="O63" s="103"/>
      <c r="P63" s="159"/>
      <c r="Q63" s="81">
        <f>Q$78*'TABLE 4 - October 2016 Dataset'!G63</f>
        <v>2831322.45</v>
      </c>
      <c r="R63" s="122">
        <f>R$78*'TABLE 4 - October 2016 Dataset'!H63</f>
        <v>1692922.6600000001</v>
      </c>
      <c r="S63" s="162">
        <f t="shared" ref="S63:S70" si="61">SUM(P63:R63)</f>
        <v>4524245.1100000003</v>
      </c>
      <c r="T63" s="165">
        <f>T$78*'TABLE 4 - October 2016 Dataset'!I63</f>
        <v>44440</v>
      </c>
      <c r="U63" s="165">
        <f>U$78*'TABLE 4 - October 2016 Dataset'!J63</f>
        <v>177396.98048780489</v>
      </c>
      <c r="V63" s="165">
        <f>V$78*'TABLE 4 - October 2016 Dataset'!K63</f>
        <v>0</v>
      </c>
      <c r="W63" s="165">
        <f>W$78*'TABLE 4 - October 2016 Dataset'!L63</f>
        <v>60708.504923903296</v>
      </c>
      <c r="X63" s="165">
        <f>X$78*'TABLE 4 - October 2016 Dataset'!M63</f>
        <v>6171.0295434198733</v>
      </c>
      <c r="Y63" s="165">
        <f>Y$78*'TABLE 4 - October 2016 Dataset'!N63</f>
        <v>4127.3769024171925</v>
      </c>
      <c r="Z63" s="165">
        <f>Z$78*'TABLE 4 - October 2016 Dataset'!O63</f>
        <v>1172.0948970456589</v>
      </c>
      <c r="AA63" s="165">
        <f>AA$78*'TABLE 4 - October 2016 Dataset'!P63</f>
        <v>69724.619516562263</v>
      </c>
      <c r="AB63" s="162">
        <f t="shared" ref="AB63:AB70" si="62">SUM(T63:AA63)</f>
        <v>363740.60627115314</v>
      </c>
      <c r="AC63" s="140">
        <f>AC$78*'TABLE 4 - October 2016 Dataset'!Q63</f>
        <v>398589.63396218396</v>
      </c>
      <c r="AD63" s="140">
        <f>AD$78*'TABLE 4 - October 2016 Dataset'!R63</f>
        <v>38814.686940965978</v>
      </c>
      <c r="AE63" s="140">
        <f>AE$78*'TABLE 4 - October 2016 Dataset'!S63</f>
        <v>0</v>
      </c>
      <c r="AF63" s="140">
        <f t="shared" ref="AF63:AF70" si="63">AF$78</f>
        <v>110000</v>
      </c>
      <c r="AG63" s="140">
        <f>IF('TABLE 4 - October 2016 Dataset'!X63="No",0,"*CHECK*")</f>
        <v>0</v>
      </c>
      <c r="AH63" s="140">
        <f>'TABLE 4 - October 2016 Dataset'!Y63</f>
        <v>36112.06</v>
      </c>
      <c r="AI63" s="170">
        <f>IF('TABLE 4 - October 2016 Dataset'!Z63&gt;0,('TABLE 4 - October 2016 Dataset'!Z63*(1+'TABLE 1 - 2018-19 Provisional'!AI$79)*(1+AI$79))-((AI$76*SUM('TABLE 4 - October 2016 Dataset'!F63:H63))+AI$77),0)</f>
        <v>0</v>
      </c>
      <c r="AJ63" s="166" t="str">
        <f>IF('TABLE 4 - October 2016 Dataset'!AA63="Yes",'TABLE 2 - 2019-20 Illustrative'!AJ$78*SUM('TABLE 4 - October 2016 Dataset'!F63:H63),"")</f>
        <v/>
      </c>
      <c r="AK63" s="140">
        <f t="shared" ref="AK63:AK70" si="64">AK$78*SUM(S63,AB63:AJ63)</f>
        <v>0</v>
      </c>
      <c r="AL63" s="94">
        <f t="shared" si="48"/>
        <v>5471502.0971743036</v>
      </c>
      <c r="AM63" s="103"/>
      <c r="AN63" s="80">
        <f t="shared" ref="AN63:AN70" si="65">AL63-SUM(AH63:AJ63)</f>
        <v>5435390.037174304</v>
      </c>
      <c r="AO63" s="165">
        <f>AN63/SUM('TABLE 4 - October 2016 Dataset'!F63:H63)</f>
        <v>4857.363750826009</v>
      </c>
      <c r="AP63" s="165">
        <f t="shared" ref="AP63:AP70" si="66">IF(AO63&lt;AP$78,AP$78-AO63,0)</f>
        <v>0</v>
      </c>
      <c r="AQ63" s="165">
        <f>AP63*SUM('TABLE 4 - October 2016 Dataset'!F63:H63)</f>
        <v>0</v>
      </c>
      <c r="AR63" s="94">
        <f t="shared" ref="AR63:AR70" si="67">AL63+AQ63</f>
        <v>5471502.0971743036</v>
      </c>
      <c r="AS63" s="103"/>
      <c r="AT63" s="80">
        <f>N63-(AF63+AG63+'TABLE 4 - October 2016 Dataset'!Y63)</f>
        <v>5049162.0168973692</v>
      </c>
      <c r="AU63" s="187">
        <f t="shared" ref="AU63:AU70" si="68">AR63-(AF63+AG63+AH63)</f>
        <v>5325390.037174304</v>
      </c>
      <c r="AV63" s="165">
        <f t="shared" ref="AV63:AV70" si="69">AT63/I63</f>
        <v>4512.2091303819207</v>
      </c>
      <c r="AW63" s="165">
        <f>AU63/SUM('TABLE 4 - October 2016 Dataset'!F63:H63)</f>
        <v>4759.0616954193956</v>
      </c>
      <c r="AX63" s="173">
        <f t="shared" ref="AX63:AX70" si="70">(AW63/AV63)-1</f>
        <v>5.4707695921128785E-2</v>
      </c>
      <c r="AY63" s="173">
        <f t="shared" ref="AY63:AY70" si="71">IF(AX63&lt;AY$78,AY$78-AX63,0)</f>
        <v>0</v>
      </c>
      <c r="AZ63" s="175">
        <f t="shared" ref="AZ63:AZ70" si="72">AY63*AV63</f>
        <v>0</v>
      </c>
      <c r="BA63" s="165">
        <f t="shared" ref="BA63:BA70" si="73">AZ63*I63</f>
        <v>0</v>
      </c>
      <c r="BB63" s="94">
        <f t="shared" ref="BB63:BB70" si="74">AR63+BA63</f>
        <v>5471502.0971743036</v>
      </c>
      <c r="BC63" s="103"/>
      <c r="BD63" s="184">
        <f>'TABLE 1 - 2018-19 Provisional'!BR63-('TABLE 2 - 2019-20 Illustrative'!AF63+'TABLE 2 - 2019-20 Illustrative'!AG63+'TABLE 1 - 2018-19 Provisional'!AH63)</f>
        <v>5200636.8774042903</v>
      </c>
      <c r="BE63" s="165">
        <f>BD63/SUM('TABLE 4 - October 2016 Dataset'!F63:H63)</f>
        <v>4647.5754042933786</v>
      </c>
      <c r="BF63" s="173">
        <f t="shared" ref="BF63:BF70" si="75">(BE63/AV63)-1</f>
        <v>3.0000000000000027E-2</v>
      </c>
      <c r="BG63" s="173">
        <f t="shared" ref="BG63:BG70" si="76">(AW63/BE63)-1</f>
        <v>2.3988054292357841E-2</v>
      </c>
      <c r="BH63" s="173">
        <f>'TABLE 1 - 2018-19 Provisional'!BF63</f>
        <v>5.4707695921128785E-2</v>
      </c>
      <c r="BI63" s="185">
        <f t="shared" ref="BI63:BI70" si="77">IF(BH63&gt;AY$78,BI$78*BG63,"            NA")</f>
        <v>4.7976108584715689E-3</v>
      </c>
      <c r="BJ63" s="185">
        <f>IF(BH63&gt;AY$78,IF(BI63&gt;BJ$78,BI63,IF(BG63&lt;BJ$78,BG63,BJ$78)),AY$78/2)</f>
        <v>2.3988054292357841E-2</v>
      </c>
      <c r="BK63" s="173">
        <f t="shared" ref="BK63:BK70" si="78">IF(BG63&gt;BJ63,BJ63-BG63,0)</f>
        <v>0</v>
      </c>
      <c r="BL63" s="175">
        <f t="shared" ref="BL63:BL70" si="79">BK63*BE63</f>
        <v>0</v>
      </c>
      <c r="BM63" s="165">
        <f>BL63*SUM('TABLE 4 - October 2016 Dataset'!F63:H63)</f>
        <v>0</v>
      </c>
      <c r="BN63" s="94">
        <f t="shared" si="51"/>
        <v>5471502.0971743036</v>
      </c>
      <c r="BO63" s="103"/>
      <c r="BP63" s="179">
        <f t="shared" si="52"/>
        <v>5435390.037174304</v>
      </c>
      <c r="BQ63" s="175">
        <f>BP63/SUM('TABLE 4 - October 2016 Dataset'!F63:H63)</f>
        <v>4857.363750826009</v>
      </c>
      <c r="BR63" s="175">
        <f t="shared" ref="BR63:BR70" si="80">IF(BQ63&lt;BR$78,BR$78-BQ63,0)</f>
        <v>0</v>
      </c>
      <c r="BS63" s="175">
        <f>BR63*SUM('TABLE 4 - October 2016 Dataset'!F63:H63)</f>
        <v>0</v>
      </c>
      <c r="BT63" s="94">
        <f t="shared" si="53"/>
        <v>5471502.0971743036</v>
      </c>
      <c r="BU63" s="103"/>
      <c r="BV63" s="80">
        <f t="shared" si="54"/>
        <v>5195274.0768973688</v>
      </c>
      <c r="BW63" s="122">
        <f t="shared" si="55"/>
        <v>4642.7829105427782</v>
      </c>
      <c r="BX63" s="264">
        <f t="shared" si="56"/>
        <v>5471502.0971743036</v>
      </c>
      <c r="BY63" s="81">
        <f>BX63/SUM('TABLE 4 - October 2016 Dataset'!F63:H63)</f>
        <v>4889.6354755802531</v>
      </c>
      <c r="BZ63" s="264">
        <f t="shared" si="57"/>
        <v>276228.02027693484</v>
      </c>
      <c r="CA63" s="81">
        <f t="shared" si="58"/>
        <v>246.85256503747496</v>
      </c>
      <c r="CB63" s="269">
        <f t="shared" si="59"/>
        <v>5.3169094871294752E-2</v>
      </c>
      <c r="CC63" s="103"/>
      <c r="CD63" s="80">
        <f>'TABLE 5 - DfE Published Figures'!O62</f>
        <v>5435000</v>
      </c>
      <c r="CE63" s="84">
        <f t="shared" si="60"/>
        <v>37000</v>
      </c>
      <c r="CF63" s="81"/>
      <c r="CG63" s="81"/>
      <c r="CH63" s="81"/>
      <c r="CI63" s="81"/>
      <c r="CJ63" s="2"/>
    </row>
    <row r="64" spans="2:88" ht="15.75">
      <c r="B64" s="198">
        <v>4153</v>
      </c>
      <c r="C64" s="60" t="s">
        <v>7</v>
      </c>
      <c r="D64" s="204"/>
      <c r="F64" s="80">
        <v>1089</v>
      </c>
      <c r="G64" s="108">
        <v>10</v>
      </c>
      <c r="H64" s="163"/>
      <c r="I64" s="94">
        <f t="shared" si="44"/>
        <v>1099</v>
      </c>
      <c r="J64" s="103"/>
      <c r="K64" s="80">
        <v>4893015.9606378665</v>
      </c>
      <c r="L64" s="108">
        <v>42124.279130000003</v>
      </c>
      <c r="M64" s="163"/>
      <c r="N64" s="94">
        <f t="shared" si="45"/>
        <v>4935140.2397678662</v>
      </c>
      <c r="O64" s="103"/>
      <c r="P64" s="159"/>
      <c r="Q64" s="81">
        <f>Q$78*'TABLE 4 - October 2016 Dataset'!G64</f>
        <v>2626602</v>
      </c>
      <c r="R64" s="122">
        <f>R$78*'TABLE 4 - October 2016 Dataset'!H64</f>
        <v>1837654.3900000001</v>
      </c>
      <c r="S64" s="162">
        <f t="shared" si="61"/>
        <v>4464256.3900000006</v>
      </c>
      <c r="T64" s="165">
        <f>T$78*'TABLE 4 - October 2016 Dataset'!I64</f>
        <v>14080.000000000013</v>
      </c>
      <c r="U64" s="165">
        <f>U$78*'TABLE 4 - October 2016 Dataset'!J64</f>
        <v>63669.003690036901</v>
      </c>
      <c r="V64" s="165">
        <f>V$78*'TABLE 4 - October 2016 Dataset'!K64</f>
        <v>0</v>
      </c>
      <c r="W64" s="165">
        <f>W$78*'TABLE 4 - October 2016 Dataset'!L64</f>
        <v>601.0938924339107</v>
      </c>
      <c r="X64" s="165">
        <f>X$78*'TABLE 4 - October 2016 Dataset'!M64</f>
        <v>5049.1886964448486</v>
      </c>
      <c r="Y64" s="165">
        <f>Y$78*'TABLE 4 - October 2016 Dataset'!N64</f>
        <v>0</v>
      </c>
      <c r="Z64" s="165">
        <f>Z$78*'TABLE 4 - October 2016 Dataset'!O64</f>
        <v>390.71103008204199</v>
      </c>
      <c r="AA64" s="165">
        <f>AA$78*'TABLE 4 - October 2016 Dataset'!P64</f>
        <v>1452.6435733819508</v>
      </c>
      <c r="AB64" s="162">
        <f t="shared" si="62"/>
        <v>85242.640882379666</v>
      </c>
      <c r="AC64" s="140">
        <f>AC$78*'TABLE 4 - October 2016 Dataset'!Q64</f>
        <v>266890.635825295</v>
      </c>
      <c r="AD64" s="140">
        <f>AD$78*'TABLE 4 - October 2016 Dataset'!R64</f>
        <v>13938.782051282053</v>
      </c>
      <c r="AE64" s="140">
        <f>AE$78*'TABLE 4 - October 2016 Dataset'!S64</f>
        <v>0</v>
      </c>
      <c r="AF64" s="140">
        <f t="shared" si="63"/>
        <v>110000</v>
      </c>
      <c r="AG64" s="140">
        <f>IF('TABLE 4 - October 2016 Dataset'!X64="No",0,"*CHECK*")</f>
        <v>0</v>
      </c>
      <c r="AH64" s="140">
        <f>'TABLE 4 - October 2016 Dataset'!Y64</f>
        <v>144205.85999999999</v>
      </c>
      <c r="AI64" s="170">
        <f>IF('TABLE 4 - October 2016 Dataset'!Z64&gt;0,('TABLE 4 - October 2016 Dataset'!Z64*(1+'TABLE 1 - 2018-19 Provisional'!AI$79)*(1+AI$79))-((AI$76*SUM('TABLE 4 - October 2016 Dataset'!F64:H64))+AI$77),0)</f>
        <v>0</v>
      </c>
      <c r="AJ64" s="166" t="str">
        <f>IF('TABLE 4 - October 2016 Dataset'!AA64="Yes",'TABLE 2 - 2019-20 Illustrative'!AJ$78*SUM('TABLE 4 - October 2016 Dataset'!F64:H64),"")</f>
        <v/>
      </c>
      <c r="AK64" s="140">
        <f t="shared" si="64"/>
        <v>0</v>
      </c>
      <c r="AL64" s="94">
        <f t="shared" si="48"/>
        <v>5084534.3087589573</v>
      </c>
      <c r="AM64" s="103"/>
      <c r="AN64" s="80">
        <f t="shared" si="65"/>
        <v>4940328.448758957</v>
      </c>
      <c r="AO64" s="165">
        <f>AN64/SUM('TABLE 4 - October 2016 Dataset'!F64:H64)</f>
        <v>4495.2943118825815</v>
      </c>
      <c r="AP64" s="165">
        <f t="shared" si="66"/>
        <v>304.7056881174185</v>
      </c>
      <c r="AQ64" s="165">
        <f>AP64*SUM('TABLE 4 - October 2016 Dataset'!F64:H64)</f>
        <v>334871.55124104291</v>
      </c>
      <c r="AR64" s="94">
        <f t="shared" si="67"/>
        <v>5419405.8600000003</v>
      </c>
      <c r="AS64" s="103"/>
      <c r="AT64" s="80">
        <f>N64-(AF64+AG64+'TABLE 4 - October 2016 Dataset'!Y64)</f>
        <v>4680934.3797678659</v>
      </c>
      <c r="AU64" s="187">
        <f t="shared" si="68"/>
        <v>5165200</v>
      </c>
      <c r="AV64" s="165">
        <f t="shared" si="69"/>
        <v>4259.2669515631169</v>
      </c>
      <c r="AW64" s="165">
        <f>AU64/SUM('TABLE 4 - October 2016 Dataset'!F64:H64)</f>
        <v>4699.9090081892627</v>
      </c>
      <c r="AX64" s="173">
        <f t="shared" si="70"/>
        <v>0.10345490471416308</v>
      </c>
      <c r="AY64" s="173">
        <f t="shared" si="71"/>
        <v>0</v>
      </c>
      <c r="AZ64" s="175">
        <f t="shared" si="72"/>
        <v>0</v>
      </c>
      <c r="BA64" s="165">
        <f t="shared" si="73"/>
        <v>0</v>
      </c>
      <c r="BB64" s="94">
        <f t="shared" si="74"/>
        <v>5419405.8600000003</v>
      </c>
      <c r="BC64" s="103"/>
      <c r="BD64" s="184">
        <f>'TABLE 1 - 2018-19 Provisional'!BR64-('TABLE 2 - 2019-20 Illustrative'!AF64+'TABLE 2 - 2019-20 Illustrative'!AG64+'TABLE 1 - 2018-19 Provisional'!AH64)</f>
        <v>4945400</v>
      </c>
      <c r="BE64" s="165">
        <f>BD64/SUM('TABLE 4 - October 2016 Dataset'!F64:H64)</f>
        <v>4499.9090081892627</v>
      </c>
      <c r="BF64" s="173">
        <f t="shared" si="75"/>
        <v>5.6498467779257711E-2</v>
      </c>
      <c r="BG64" s="173">
        <f t="shared" si="76"/>
        <v>4.4445343147166971E-2</v>
      </c>
      <c r="BH64" s="173">
        <f>'TABLE 1 - 2018-19 Provisional'!BF64</f>
        <v>0.10345490471416308</v>
      </c>
      <c r="BI64" s="185">
        <f t="shared" si="77"/>
        <v>8.8890686294333943E-3</v>
      </c>
      <c r="BJ64" s="185">
        <f t="shared" ref="BJ64:BJ70" si="81">IF(BH64&gt;AY$78,IF(BI64&gt;BJ$78,BI64,IF(BG64&lt;BJ$78,BG64,BJ$78)),AY$78/2)</f>
        <v>0.03</v>
      </c>
      <c r="BK64" s="173">
        <f t="shared" si="78"/>
        <v>-1.4445343147166972E-2</v>
      </c>
      <c r="BL64" s="175">
        <f t="shared" si="79"/>
        <v>-65.002729754321692</v>
      </c>
      <c r="BM64" s="165">
        <f>BL64*SUM('TABLE 4 - October 2016 Dataset'!F64:H64)</f>
        <v>-71437.999999999534</v>
      </c>
      <c r="BN64" s="94">
        <f t="shared" si="51"/>
        <v>5347967.8600000013</v>
      </c>
      <c r="BO64" s="103"/>
      <c r="BP64" s="179">
        <f t="shared" si="52"/>
        <v>5203762.0000000009</v>
      </c>
      <c r="BQ64" s="175">
        <f>BP64/SUM('TABLE 4 - October 2016 Dataset'!F64:H64)</f>
        <v>4734.9972702456789</v>
      </c>
      <c r="BR64" s="175">
        <f t="shared" si="80"/>
        <v>65.002729754321081</v>
      </c>
      <c r="BS64" s="175">
        <f>BR64*SUM('TABLE 4 - October 2016 Dataset'!F64:H64)</f>
        <v>71437.999999998865</v>
      </c>
      <c r="BT64" s="94">
        <f t="shared" si="53"/>
        <v>5419405.8600000003</v>
      </c>
      <c r="BU64" s="103"/>
      <c r="BV64" s="80">
        <f t="shared" si="54"/>
        <v>4935140.2397678662</v>
      </c>
      <c r="BW64" s="122">
        <f t="shared" si="55"/>
        <v>4490.5734665767659</v>
      </c>
      <c r="BX64" s="264">
        <f t="shared" si="56"/>
        <v>5419405.8600000003</v>
      </c>
      <c r="BY64" s="81">
        <f>BX64/SUM('TABLE 4 - October 2016 Dataset'!F64:H64)</f>
        <v>4931.2155232029118</v>
      </c>
      <c r="BZ64" s="264">
        <f t="shared" si="57"/>
        <v>484265.62023213413</v>
      </c>
      <c r="CA64" s="81">
        <f t="shared" si="58"/>
        <v>440.64205662614586</v>
      </c>
      <c r="CB64" s="269">
        <f t="shared" si="59"/>
        <v>9.8126009941900391E-2</v>
      </c>
      <c r="CC64" s="103"/>
      <c r="CD64" s="80">
        <f>'TABLE 5 - DfE Published Figures'!O63</f>
        <v>5419000</v>
      </c>
      <c r="CE64" s="84">
        <f t="shared" si="60"/>
        <v>0</v>
      </c>
      <c r="CF64" s="81"/>
      <c r="CG64" s="81"/>
      <c r="CH64" s="81"/>
      <c r="CI64" s="81"/>
      <c r="CJ64" s="2"/>
    </row>
    <row r="65" spans="2:88" ht="15.75">
      <c r="B65" s="198">
        <v>4063</v>
      </c>
      <c r="C65" s="60" t="s">
        <v>35</v>
      </c>
      <c r="D65" s="204"/>
      <c r="F65" s="80">
        <v>1181</v>
      </c>
      <c r="G65" s="163"/>
      <c r="H65" s="163"/>
      <c r="I65" s="94">
        <f t="shared" si="44"/>
        <v>1181</v>
      </c>
      <c r="J65" s="103"/>
      <c r="K65" s="80">
        <v>5408302.1560505908</v>
      </c>
      <c r="L65" s="163"/>
      <c r="M65" s="163"/>
      <c r="N65" s="94">
        <f t="shared" si="45"/>
        <v>5408302.1560505908</v>
      </c>
      <c r="O65" s="103"/>
      <c r="P65" s="159"/>
      <c r="Q65" s="81">
        <f>Q$78*'TABLE 4 - October 2016 Dataset'!G65</f>
        <v>2808146.5500000003</v>
      </c>
      <c r="R65" s="122">
        <f>R$78*'TABLE 4 - October 2016 Dataset'!H65</f>
        <v>1991157.7400000002</v>
      </c>
      <c r="S65" s="162">
        <f t="shared" si="61"/>
        <v>4799304.290000001</v>
      </c>
      <c r="T65" s="165">
        <f>T$78*'TABLE 4 - October 2016 Dataset'!I65</f>
        <v>26840.000000000007</v>
      </c>
      <c r="U65" s="165">
        <f>U$78*'TABLE 4 - October 2016 Dataset'!J65</f>
        <v>161336.87012987013</v>
      </c>
      <c r="V65" s="165">
        <f>V$78*'TABLE 4 - October 2016 Dataset'!K65</f>
        <v>0</v>
      </c>
      <c r="W65" s="165">
        <f>W$78*'TABLE 4 - October 2016 Dataset'!L65</f>
        <v>6015.2801358234337</v>
      </c>
      <c r="X65" s="165">
        <f>X$78*'TABLE 4 - October 2016 Dataset'!M65</f>
        <v>1122.8522920203741</v>
      </c>
      <c r="Y65" s="165">
        <f>Y$78*'TABLE 4 - October 2016 Dataset'!N65</f>
        <v>30978.692699490679</v>
      </c>
      <c r="Z65" s="165">
        <f>Z$78*'TABLE 4 - October 2016 Dataset'!O65</f>
        <v>8601.850594227486</v>
      </c>
      <c r="AA65" s="165">
        <f>AA$78*'TABLE 4 - October 2016 Dataset'!P65</f>
        <v>17153.573853989816</v>
      </c>
      <c r="AB65" s="162">
        <f t="shared" si="62"/>
        <v>252049.11970542191</v>
      </c>
      <c r="AC65" s="140">
        <f>AC$78*'TABLE 4 - October 2016 Dataset'!Q65</f>
        <v>310801.64998872322</v>
      </c>
      <c r="AD65" s="140">
        <f>AD$78*'TABLE 4 - October 2016 Dataset'!R65</f>
        <v>15273.798811544992</v>
      </c>
      <c r="AE65" s="140">
        <f>AE$78*'TABLE 4 - October 2016 Dataset'!S65</f>
        <v>0</v>
      </c>
      <c r="AF65" s="140">
        <f t="shared" si="63"/>
        <v>110000</v>
      </c>
      <c r="AG65" s="140">
        <f>IF('TABLE 4 - October 2016 Dataset'!X65="No",0,"*CHECK*")</f>
        <v>0</v>
      </c>
      <c r="AH65" s="140">
        <f>'TABLE 4 - October 2016 Dataset'!Y65</f>
        <v>186619.35</v>
      </c>
      <c r="AI65" s="170">
        <f>IF('TABLE 4 - October 2016 Dataset'!Z65&gt;0,('TABLE 4 - October 2016 Dataset'!Z65*(1+'TABLE 1 - 2018-19 Provisional'!AI$79)*(1+AI$79))-((AI$76*SUM('TABLE 4 - October 2016 Dataset'!F65:H65))+AI$77),0)</f>
        <v>0</v>
      </c>
      <c r="AJ65" s="166" t="str">
        <f>IF('TABLE 4 - October 2016 Dataset'!AA65="Yes",'TABLE 2 - 2019-20 Illustrative'!AJ$78*SUM('TABLE 4 - October 2016 Dataset'!F65:H65),"")</f>
        <v/>
      </c>
      <c r="AK65" s="140">
        <f t="shared" si="64"/>
        <v>0</v>
      </c>
      <c r="AL65" s="94">
        <f t="shared" si="48"/>
        <v>5674048.2085056901</v>
      </c>
      <c r="AM65" s="103"/>
      <c r="AN65" s="80">
        <f t="shared" si="65"/>
        <v>5487428.8585056905</v>
      </c>
      <c r="AO65" s="165">
        <f>AN65/SUM('TABLE 4 - October 2016 Dataset'!F65:H65)</f>
        <v>4646.4257904366559</v>
      </c>
      <c r="AP65" s="165">
        <f t="shared" si="66"/>
        <v>153.57420956334408</v>
      </c>
      <c r="AQ65" s="165">
        <f>AP65*SUM('TABLE 4 - October 2016 Dataset'!F65:H65)</f>
        <v>181371.14149430936</v>
      </c>
      <c r="AR65" s="94">
        <f t="shared" si="67"/>
        <v>5855419.3499999996</v>
      </c>
      <c r="AS65" s="103"/>
      <c r="AT65" s="80">
        <f>N65-(AF65+AG65+'TABLE 4 - October 2016 Dataset'!Y65)</f>
        <v>5111682.8060505912</v>
      </c>
      <c r="AU65" s="187">
        <f t="shared" si="68"/>
        <v>5558800</v>
      </c>
      <c r="AV65" s="165">
        <f t="shared" si="69"/>
        <v>4328.2665588912714</v>
      </c>
      <c r="AW65" s="165">
        <f>AU65/SUM('TABLE 4 - October 2016 Dataset'!F65:H65)</f>
        <v>4706.8585944115157</v>
      </c>
      <c r="AX65" s="173">
        <f t="shared" si="70"/>
        <v>8.7469667214124636E-2</v>
      </c>
      <c r="AY65" s="173">
        <f t="shared" si="71"/>
        <v>0</v>
      </c>
      <c r="AZ65" s="175">
        <f t="shared" si="72"/>
        <v>0</v>
      </c>
      <c r="BA65" s="165">
        <f t="shared" si="73"/>
        <v>0</v>
      </c>
      <c r="BB65" s="94">
        <f t="shared" si="74"/>
        <v>5855419.3499999996</v>
      </c>
      <c r="BC65" s="103"/>
      <c r="BD65" s="184">
        <f>'TABLE 1 - 2018-19 Provisional'!BR65-('TABLE 2 - 2019-20 Illustrative'!AF65+'TABLE 2 - 2019-20 Illustrative'!AG65+'TABLE 1 - 2018-19 Provisional'!AH65)</f>
        <v>5322600</v>
      </c>
      <c r="BE65" s="165">
        <f>BD65/SUM('TABLE 4 - October 2016 Dataset'!F65:H65)</f>
        <v>4506.8585944115157</v>
      </c>
      <c r="BF65" s="173">
        <f t="shared" si="75"/>
        <v>4.1261792241832795E-2</v>
      </c>
      <c r="BG65" s="173">
        <f t="shared" si="76"/>
        <v>4.43768083267575E-2</v>
      </c>
      <c r="BH65" s="173">
        <f>'TABLE 1 - 2018-19 Provisional'!BF65</f>
        <v>8.7469667214124636E-2</v>
      </c>
      <c r="BI65" s="185">
        <f t="shared" si="77"/>
        <v>8.8753616653514996E-3</v>
      </c>
      <c r="BJ65" s="185">
        <f t="shared" si="81"/>
        <v>0.03</v>
      </c>
      <c r="BK65" s="173">
        <f t="shared" si="78"/>
        <v>-1.4376808326757501E-2</v>
      </c>
      <c r="BL65" s="175">
        <f t="shared" si="79"/>
        <v>-64.79424216765409</v>
      </c>
      <c r="BM65" s="165">
        <f>BL65*SUM('TABLE 4 - October 2016 Dataset'!F65:H65)</f>
        <v>-76521.999999999476</v>
      </c>
      <c r="BN65" s="94">
        <f t="shared" si="51"/>
        <v>5778897.3500000006</v>
      </c>
      <c r="BO65" s="103"/>
      <c r="BP65" s="179">
        <f t="shared" si="52"/>
        <v>5592278.0000000009</v>
      </c>
      <c r="BQ65" s="175">
        <f>BP65/SUM('TABLE 4 - October 2016 Dataset'!F65:H65)</f>
        <v>4735.2057578323465</v>
      </c>
      <c r="BR65" s="175">
        <f t="shared" si="80"/>
        <v>64.794242167653465</v>
      </c>
      <c r="BS65" s="175">
        <f>BR65*SUM('TABLE 4 - October 2016 Dataset'!F65:H65)</f>
        <v>76521.999999998749</v>
      </c>
      <c r="BT65" s="94">
        <f t="shared" si="53"/>
        <v>5855419.3499999996</v>
      </c>
      <c r="BU65" s="103"/>
      <c r="BV65" s="80">
        <f t="shared" si="54"/>
        <v>5408302.1560505908</v>
      </c>
      <c r="BW65" s="122">
        <f t="shared" si="55"/>
        <v>4579.4260423798396</v>
      </c>
      <c r="BX65" s="264">
        <f t="shared" si="56"/>
        <v>5855419.3499999996</v>
      </c>
      <c r="BY65" s="81">
        <f>BX65/SUM('TABLE 4 - October 2016 Dataset'!F65:H65)</f>
        <v>4958.0180779000848</v>
      </c>
      <c r="BZ65" s="264">
        <f t="shared" si="57"/>
        <v>447117.19394940883</v>
      </c>
      <c r="CA65" s="81">
        <f t="shared" si="58"/>
        <v>378.59203552024519</v>
      </c>
      <c r="CB65" s="269">
        <f t="shared" si="59"/>
        <v>8.267237684736102E-2</v>
      </c>
      <c r="CC65" s="103"/>
      <c r="CD65" s="80">
        <f>'TABLE 5 - DfE Published Figures'!O64</f>
        <v>5855000</v>
      </c>
      <c r="CE65" s="84">
        <f t="shared" si="60"/>
        <v>0</v>
      </c>
      <c r="CF65" s="81"/>
      <c r="CG65" s="81"/>
      <c r="CH65" s="81"/>
      <c r="CI65" s="81"/>
      <c r="CJ65" s="2"/>
    </row>
    <row r="66" spans="2:88" ht="15.75">
      <c r="B66" s="198">
        <v>4508</v>
      </c>
      <c r="C66" s="60" t="s">
        <v>8</v>
      </c>
      <c r="D66" s="204"/>
      <c r="F66" s="80">
        <v>1050</v>
      </c>
      <c r="G66" s="108">
        <v>10</v>
      </c>
      <c r="H66" s="163"/>
      <c r="I66" s="94">
        <f t="shared" si="44"/>
        <v>1060</v>
      </c>
      <c r="J66" s="103"/>
      <c r="K66" s="80">
        <v>5072331.3671292821</v>
      </c>
      <c r="L66" s="108">
        <v>44365.282630000002</v>
      </c>
      <c r="M66" s="163"/>
      <c r="N66" s="94">
        <f t="shared" si="45"/>
        <v>5116696.6497592824</v>
      </c>
      <c r="O66" s="103"/>
      <c r="P66" s="159"/>
      <c r="Q66" s="81">
        <f>Q$78*'TABLE 4 - October 2016 Dataset'!G66</f>
        <v>2576387.5500000003</v>
      </c>
      <c r="R66" s="122">
        <f>R$78*'TABLE 4 - October 2016 Dataset'!H66</f>
        <v>1723623.33</v>
      </c>
      <c r="S66" s="162">
        <f t="shared" si="61"/>
        <v>4300010.8800000008</v>
      </c>
      <c r="T66" s="165">
        <f>T$78*'TABLE 4 - October 2016 Dataset'!I66</f>
        <v>36079.999999999985</v>
      </c>
      <c r="U66" s="165">
        <f>U$78*'TABLE 4 - October 2016 Dataset'!J66</f>
        <v>165616.038647343</v>
      </c>
      <c r="V66" s="165">
        <f>V$78*'TABLE 4 - October 2016 Dataset'!K66</f>
        <v>0</v>
      </c>
      <c r="W66" s="165">
        <f>W$78*'TABLE 4 - October 2016 Dataset'!L66</f>
        <v>13865.402843601909</v>
      </c>
      <c r="X66" s="165">
        <f>X$78*'TABLE 4 - October 2016 Dataset'!M66</f>
        <v>1125.3080568720391</v>
      </c>
      <c r="Y66" s="165">
        <f>Y$78*'TABLE 4 - October 2016 Dataset'!N66</f>
        <v>38290.616113744065</v>
      </c>
      <c r="Z66" s="165">
        <f>Z$78*'TABLE 4 - October 2016 Dataset'!O66</f>
        <v>22335.355450236948</v>
      </c>
      <c r="AA66" s="165">
        <f>AA$78*'TABLE 4 - October 2016 Dataset'!P66</f>
        <v>23892.701421800943</v>
      </c>
      <c r="AB66" s="162">
        <f t="shared" si="62"/>
        <v>301205.4225335989</v>
      </c>
      <c r="AC66" s="140">
        <f>AC$78*'TABLE 4 - October 2016 Dataset'!Q66</f>
        <v>387833.41514534585</v>
      </c>
      <c r="AD66" s="140">
        <f>AD$78*'TABLE 4 - October 2016 Dataset'!R66</f>
        <v>8310.0000000000055</v>
      </c>
      <c r="AE66" s="140">
        <f>AE$78*'TABLE 4 - October 2016 Dataset'!S66</f>
        <v>0</v>
      </c>
      <c r="AF66" s="140">
        <f t="shared" si="63"/>
        <v>110000</v>
      </c>
      <c r="AG66" s="140">
        <f>IF('TABLE 4 - October 2016 Dataset'!X66="No",0,"*CHECK*")</f>
        <v>0</v>
      </c>
      <c r="AH66" s="140">
        <f>'TABLE 4 - October 2016 Dataset'!Y66</f>
        <v>259328.19</v>
      </c>
      <c r="AI66" s="170">
        <f>IF('TABLE 4 - October 2016 Dataset'!Z66&gt;0,('TABLE 4 - October 2016 Dataset'!Z66*(1+'TABLE 1 - 2018-19 Provisional'!AI$79)*(1+AI$79))-((AI$76*SUM('TABLE 4 - October 2016 Dataset'!F66:H66))+AI$77),0)</f>
        <v>0</v>
      </c>
      <c r="AJ66" s="166" t="str">
        <f>IF('TABLE 4 - October 2016 Dataset'!AA66="Yes",'TABLE 2 - 2019-20 Illustrative'!AJ$78*SUM('TABLE 4 - October 2016 Dataset'!F66:H66),"")</f>
        <v/>
      </c>
      <c r="AK66" s="140">
        <f t="shared" si="64"/>
        <v>0</v>
      </c>
      <c r="AL66" s="94">
        <f t="shared" si="48"/>
        <v>5366687.9076789459</v>
      </c>
      <c r="AM66" s="103"/>
      <c r="AN66" s="80">
        <f t="shared" si="65"/>
        <v>5107359.7176789455</v>
      </c>
      <c r="AO66" s="165">
        <f>AN66/SUM('TABLE 4 - October 2016 Dataset'!F66:H66)</f>
        <v>4818.2638846027785</v>
      </c>
      <c r="AP66" s="165">
        <f t="shared" si="66"/>
        <v>0</v>
      </c>
      <c r="AQ66" s="165">
        <f>AP66*SUM('TABLE 4 - October 2016 Dataset'!F66:H66)</f>
        <v>0</v>
      </c>
      <c r="AR66" s="94">
        <f t="shared" si="67"/>
        <v>5366687.9076789459</v>
      </c>
      <c r="AS66" s="103"/>
      <c r="AT66" s="80">
        <f>N66-(AF66+AG66+'TABLE 4 - October 2016 Dataset'!Y66)</f>
        <v>4747368.4597592819</v>
      </c>
      <c r="AU66" s="187">
        <f t="shared" si="68"/>
        <v>4997359.7176789455</v>
      </c>
      <c r="AV66" s="165">
        <f t="shared" si="69"/>
        <v>4478.6494903389448</v>
      </c>
      <c r="AW66" s="165">
        <f>AU66/SUM('TABLE 4 - October 2016 Dataset'!F66:H66)</f>
        <v>4714.4902996971186</v>
      </c>
      <c r="AX66" s="173">
        <f t="shared" si="70"/>
        <v>5.2658911992759183E-2</v>
      </c>
      <c r="AY66" s="173">
        <f t="shared" si="71"/>
        <v>0</v>
      </c>
      <c r="AZ66" s="175">
        <f t="shared" si="72"/>
        <v>0</v>
      </c>
      <c r="BA66" s="165">
        <f t="shared" si="73"/>
        <v>0</v>
      </c>
      <c r="BB66" s="94">
        <f t="shared" si="74"/>
        <v>5366687.9076789459</v>
      </c>
      <c r="BC66" s="103"/>
      <c r="BD66" s="184">
        <f>'TABLE 1 - 2018-19 Provisional'!BR66-('TABLE 2 - 2019-20 Illustrative'!AF66+'TABLE 2 - 2019-20 Illustrative'!AG66+'TABLE 1 - 2018-19 Provisional'!AH66)</f>
        <v>4889789.5135520594</v>
      </c>
      <c r="BE66" s="165">
        <f>BD66/SUM('TABLE 4 - October 2016 Dataset'!F66:H66)</f>
        <v>4613.0089750491125</v>
      </c>
      <c r="BF66" s="173">
        <f t="shared" si="75"/>
        <v>2.9999999999999805E-2</v>
      </c>
      <c r="BG66" s="173">
        <f t="shared" si="76"/>
        <v>2.1998943682290495E-2</v>
      </c>
      <c r="BH66" s="173">
        <f>'TABLE 1 - 2018-19 Provisional'!BF66</f>
        <v>5.2658911992759183E-2</v>
      </c>
      <c r="BI66" s="185">
        <f t="shared" si="77"/>
        <v>4.3997887364580993E-3</v>
      </c>
      <c r="BJ66" s="185">
        <f t="shared" si="81"/>
        <v>2.1998943682290495E-2</v>
      </c>
      <c r="BK66" s="173">
        <f t="shared" si="78"/>
        <v>0</v>
      </c>
      <c r="BL66" s="175">
        <f t="shared" si="79"/>
        <v>0</v>
      </c>
      <c r="BM66" s="165">
        <f>BL66*SUM('TABLE 4 - October 2016 Dataset'!F66:H66)</f>
        <v>0</v>
      </c>
      <c r="BN66" s="94">
        <f t="shared" si="51"/>
        <v>5366687.9076789459</v>
      </c>
      <c r="BO66" s="103"/>
      <c r="BP66" s="179">
        <f t="shared" si="52"/>
        <v>5107359.7176789455</v>
      </c>
      <c r="BQ66" s="175">
        <f>BP66/SUM('TABLE 4 - October 2016 Dataset'!F66:H66)</f>
        <v>4818.2638846027785</v>
      </c>
      <c r="BR66" s="175">
        <f t="shared" si="80"/>
        <v>0</v>
      </c>
      <c r="BS66" s="175">
        <f>BR66*SUM('TABLE 4 - October 2016 Dataset'!F66:H66)</f>
        <v>0</v>
      </c>
      <c r="BT66" s="94">
        <f t="shared" si="53"/>
        <v>5366687.9076789459</v>
      </c>
      <c r="BU66" s="103"/>
      <c r="BV66" s="80">
        <f t="shared" si="54"/>
        <v>5116696.6497592824</v>
      </c>
      <c r="BW66" s="122">
        <f t="shared" si="55"/>
        <v>4827.0723110936624</v>
      </c>
      <c r="BX66" s="264">
        <f t="shared" si="56"/>
        <v>5366687.9076789459</v>
      </c>
      <c r="BY66" s="81">
        <f>BX66/SUM('TABLE 4 - October 2016 Dataset'!F66:H66)</f>
        <v>5062.9131204518362</v>
      </c>
      <c r="BZ66" s="264">
        <f t="shared" si="57"/>
        <v>249991.25791966356</v>
      </c>
      <c r="CA66" s="81">
        <f t="shared" si="58"/>
        <v>235.84080935817383</v>
      </c>
      <c r="CB66" s="269">
        <f t="shared" si="59"/>
        <v>4.8857940001470528E-2</v>
      </c>
      <c r="CC66" s="103"/>
      <c r="CD66" s="80">
        <f>'TABLE 5 - DfE Published Figures'!O65</f>
        <v>5363000</v>
      </c>
      <c r="CE66" s="84">
        <f t="shared" si="60"/>
        <v>4000</v>
      </c>
      <c r="CF66" s="81"/>
      <c r="CG66" s="81"/>
      <c r="CH66" s="81"/>
      <c r="CI66" s="81"/>
      <c r="CJ66" s="2"/>
    </row>
    <row r="67" spans="2:88" ht="15.75">
      <c r="B67" s="198">
        <v>4602</v>
      </c>
      <c r="C67" s="60" t="s">
        <v>39</v>
      </c>
      <c r="D67" s="204" t="s">
        <v>71</v>
      </c>
      <c r="F67" s="80">
        <v>1029</v>
      </c>
      <c r="G67" s="163"/>
      <c r="H67" s="163"/>
      <c r="I67" s="94">
        <f t="shared" si="44"/>
        <v>1029</v>
      </c>
      <c r="J67" s="103"/>
      <c r="K67" s="80">
        <v>4628341.3243124103</v>
      </c>
      <c r="L67" s="163"/>
      <c r="M67" s="163"/>
      <c r="N67" s="94">
        <f t="shared" si="45"/>
        <v>4628341.3243124103</v>
      </c>
      <c r="O67" s="103"/>
      <c r="P67" s="159"/>
      <c r="Q67" s="81">
        <f>Q$78*'TABLE 4 - October 2016 Dataset'!G67</f>
        <v>2557074.3000000003</v>
      </c>
      <c r="R67" s="122">
        <f>R$78*'TABLE 4 - October 2016 Dataset'!H67</f>
        <v>1609592.2700000003</v>
      </c>
      <c r="S67" s="162">
        <f t="shared" si="61"/>
        <v>4166666.5700000003</v>
      </c>
      <c r="T67" s="165">
        <f>T$78*'TABLE 4 - October 2016 Dataset'!I67</f>
        <v>20680</v>
      </c>
      <c r="U67" s="165">
        <f>U$78*'TABLE 4 - October 2016 Dataset'!J67</f>
        <v>93487.522842639592</v>
      </c>
      <c r="V67" s="165">
        <f>V$78*'TABLE 4 - October 2016 Dataset'!K67</f>
        <v>0</v>
      </c>
      <c r="W67" s="165">
        <f>W$78*'TABLE 4 - October 2016 Dataset'!L67</f>
        <v>1805.2631578947341</v>
      </c>
      <c r="X67" s="165">
        <f>X$78*'TABLE 4 - October 2016 Dataset'!M67</f>
        <v>31451.695906432724</v>
      </c>
      <c r="Y67" s="165">
        <f>Y$78*'TABLE 4 - October 2016 Dataset'!N67</f>
        <v>4132.0467836257294</v>
      </c>
      <c r="Z67" s="165">
        <f>Z$78*'TABLE 4 - October 2016 Dataset'!O67</f>
        <v>1173.4210526315771</v>
      </c>
      <c r="AA67" s="165">
        <f>AA$78*'TABLE 4 - October 2016 Dataset'!P67</f>
        <v>9016.2865497076164</v>
      </c>
      <c r="AB67" s="162">
        <f t="shared" si="62"/>
        <v>161746.23629293198</v>
      </c>
      <c r="AC67" s="140">
        <f>AC$78*'TABLE 4 - October 2016 Dataset'!Q67</f>
        <v>311529.46944680327</v>
      </c>
      <c r="AD67" s="140">
        <f>AD$78*'TABLE 4 - October 2016 Dataset'!R67</f>
        <v>2769.9999999999982</v>
      </c>
      <c r="AE67" s="140">
        <f>AE$78*'TABLE 4 - October 2016 Dataset'!S67</f>
        <v>0</v>
      </c>
      <c r="AF67" s="140">
        <f t="shared" si="63"/>
        <v>110000</v>
      </c>
      <c r="AG67" s="140">
        <f>IF('TABLE 4 - October 2016 Dataset'!X67="No",0,"*CHECK*")</f>
        <v>0</v>
      </c>
      <c r="AH67" s="140">
        <f>'TABLE 4 - October 2016 Dataset'!Y67</f>
        <v>59136.52</v>
      </c>
      <c r="AI67" s="170">
        <f>IF('TABLE 4 - October 2016 Dataset'!Z67&gt;0,('TABLE 4 - October 2016 Dataset'!Z67*(1+'TABLE 1 - 2018-19 Provisional'!AI$79)*(1+AI$79))-((AI$76*SUM('TABLE 4 - October 2016 Dataset'!F67:H67))+AI$77),0)</f>
        <v>0</v>
      </c>
      <c r="AJ67" s="166" t="str">
        <f>IF('TABLE 4 - October 2016 Dataset'!AA67="Yes",'TABLE 2 - 2019-20 Illustrative'!AJ$78*SUM('TABLE 4 - October 2016 Dataset'!F67:H67),"")</f>
        <v/>
      </c>
      <c r="AK67" s="140">
        <f t="shared" si="64"/>
        <v>0</v>
      </c>
      <c r="AL67" s="94">
        <f t="shared" si="48"/>
        <v>4811848.7957397355</v>
      </c>
      <c r="AM67" s="103"/>
      <c r="AN67" s="80">
        <f t="shared" si="65"/>
        <v>4752712.2757397359</v>
      </c>
      <c r="AO67" s="165">
        <f>AN67/SUM('TABLE 4 - October 2016 Dataset'!F67:H67)</f>
        <v>4618.7680036343399</v>
      </c>
      <c r="AP67" s="165">
        <f t="shared" si="66"/>
        <v>181.23199636566005</v>
      </c>
      <c r="AQ67" s="165">
        <f>AP67*SUM('TABLE 4 - October 2016 Dataset'!F67:H67)</f>
        <v>186487.72426026419</v>
      </c>
      <c r="AR67" s="94">
        <f t="shared" si="67"/>
        <v>4998336.5199999996</v>
      </c>
      <c r="AS67" s="103"/>
      <c r="AT67" s="80">
        <f>N67-(AF67+AG67+'TABLE 4 - October 2016 Dataset'!Y67)</f>
        <v>4459204.8043124108</v>
      </c>
      <c r="AU67" s="187">
        <f t="shared" si="68"/>
        <v>4829200</v>
      </c>
      <c r="AV67" s="165">
        <f t="shared" si="69"/>
        <v>4333.5323657069102</v>
      </c>
      <c r="AW67" s="165">
        <f>AU67/SUM('TABLE 4 - October 2016 Dataset'!F67:H67)</f>
        <v>4693.1000971817302</v>
      </c>
      <c r="AX67" s="173">
        <f t="shared" si="70"/>
        <v>8.2973357790109725E-2</v>
      </c>
      <c r="AY67" s="173">
        <f t="shared" si="71"/>
        <v>0</v>
      </c>
      <c r="AZ67" s="175">
        <f t="shared" si="72"/>
        <v>0</v>
      </c>
      <c r="BA67" s="165">
        <f t="shared" si="73"/>
        <v>0</v>
      </c>
      <c r="BB67" s="94">
        <f t="shared" si="74"/>
        <v>4998336.5199999996</v>
      </c>
      <c r="BC67" s="103"/>
      <c r="BD67" s="184">
        <f>'TABLE 1 - 2018-19 Provisional'!BR67-('TABLE 2 - 2019-20 Illustrative'!AF67+'TABLE 2 - 2019-20 Illustrative'!AG67+'TABLE 1 - 2018-19 Provisional'!AH67)</f>
        <v>4623400</v>
      </c>
      <c r="BE67" s="165">
        <f>BD67/SUM('TABLE 4 - October 2016 Dataset'!F67:H67)</f>
        <v>4493.1000971817302</v>
      </c>
      <c r="BF67" s="173">
        <f t="shared" si="75"/>
        <v>3.6821631410335787E-2</v>
      </c>
      <c r="BG67" s="173">
        <f t="shared" si="76"/>
        <v>4.4512696284119802E-2</v>
      </c>
      <c r="BH67" s="173">
        <f>'TABLE 1 - 2018-19 Provisional'!BF67</f>
        <v>8.2973357790109725E-2</v>
      </c>
      <c r="BI67" s="185">
        <f t="shared" si="77"/>
        <v>8.9025392568239606E-3</v>
      </c>
      <c r="BJ67" s="185">
        <f t="shared" si="81"/>
        <v>0.03</v>
      </c>
      <c r="BK67" s="173">
        <f t="shared" si="78"/>
        <v>-1.4512696284119803E-2</v>
      </c>
      <c r="BL67" s="175">
        <f t="shared" si="79"/>
        <v>-65.206997084547623</v>
      </c>
      <c r="BM67" s="165">
        <f>BL67*SUM('TABLE 4 - October 2016 Dataset'!F67:H67)</f>
        <v>-67097.999999999505</v>
      </c>
      <c r="BN67" s="94">
        <f t="shared" si="51"/>
        <v>4931238.5200000005</v>
      </c>
      <c r="BO67" s="103"/>
      <c r="BP67" s="179">
        <f t="shared" si="52"/>
        <v>4872102.0000000009</v>
      </c>
      <c r="BQ67" s="175">
        <f>BP67/SUM('TABLE 4 - October 2016 Dataset'!F67:H67)</f>
        <v>4734.7930029154531</v>
      </c>
      <c r="BR67" s="175">
        <f t="shared" si="80"/>
        <v>65.206997084546856</v>
      </c>
      <c r="BS67" s="175">
        <f>BR67*SUM('TABLE 4 - October 2016 Dataset'!F67:H67)</f>
        <v>67097.999999998719</v>
      </c>
      <c r="BT67" s="94">
        <f t="shared" si="53"/>
        <v>4998336.5199999996</v>
      </c>
      <c r="BU67" s="103"/>
      <c r="BV67" s="80">
        <f t="shared" si="54"/>
        <v>4628341.3243124103</v>
      </c>
      <c r="BW67" s="122">
        <f t="shared" si="55"/>
        <v>4497.9021616252776</v>
      </c>
      <c r="BX67" s="264">
        <f t="shared" si="56"/>
        <v>4998336.5199999996</v>
      </c>
      <c r="BY67" s="81">
        <f>BX67/SUM('TABLE 4 - October 2016 Dataset'!F67:H67)</f>
        <v>4857.4698931000967</v>
      </c>
      <c r="BZ67" s="264">
        <f t="shared" si="57"/>
        <v>369995.19568758924</v>
      </c>
      <c r="CA67" s="81">
        <f t="shared" si="58"/>
        <v>359.56773147481908</v>
      </c>
      <c r="CB67" s="269">
        <f t="shared" si="59"/>
        <v>7.9941207824069799E-2</v>
      </c>
      <c r="CC67" s="103"/>
      <c r="CD67" s="80">
        <f>'TABLE 5 - DfE Published Figures'!O66</f>
        <v>4939000</v>
      </c>
      <c r="CE67" s="84">
        <f t="shared" si="60"/>
        <v>59000</v>
      </c>
      <c r="CF67" s="81"/>
      <c r="CG67" s="81"/>
      <c r="CH67" s="81"/>
      <c r="CI67" s="81"/>
      <c r="CJ67" s="2"/>
    </row>
    <row r="68" spans="2:88" ht="15.75">
      <c r="B68" s="198">
        <v>4229</v>
      </c>
      <c r="C68" s="60" t="s">
        <v>40</v>
      </c>
      <c r="D68" s="204" t="s">
        <v>73</v>
      </c>
      <c r="F68" s="80">
        <v>998</v>
      </c>
      <c r="G68" s="163"/>
      <c r="H68" s="163"/>
      <c r="I68" s="94">
        <f t="shared" si="44"/>
        <v>998</v>
      </c>
      <c r="J68" s="103"/>
      <c r="K68" s="80">
        <v>4554384.9466296714</v>
      </c>
      <c r="L68" s="163"/>
      <c r="M68" s="163"/>
      <c r="N68" s="94">
        <f t="shared" si="45"/>
        <v>4554384.9466296714</v>
      </c>
      <c r="O68" s="103"/>
      <c r="P68" s="159"/>
      <c r="Q68" s="81">
        <f>Q$78*'TABLE 4 - October 2016 Dataset'!G68</f>
        <v>2390980.35</v>
      </c>
      <c r="R68" s="122">
        <f>R$78*'TABLE 4 - October 2016 Dataset'!H68</f>
        <v>1662221.9900000002</v>
      </c>
      <c r="S68" s="162">
        <f t="shared" si="61"/>
        <v>4053202.3400000003</v>
      </c>
      <c r="T68" s="165">
        <f>T$78*'TABLE 4 - October 2016 Dataset'!I68</f>
        <v>30799.999999999982</v>
      </c>
      <c r="U68" s="165">
        <f>U$78*'TABLE 4 - October 2016 Dataset'!J68</f>
        <v>140045.3207150368</v>
      </c>
      <c r="V68" s="165">
        <f>V$78*'TABLE 4 - October 2016 Dataset'!K68</f>
        <v>0</v>
      </c>
      <c r="W68" s="165">
        <f>W$78*'TABLE 4 - October 2016 Dataset'!L68</f>
        <v>4800.0000000000018</v>
      </c>
      <c r="X68" s="165">
        <f>X$78*'TABLE 4 - October 2016 Dataset'!M68</f>
        <v>30800.000000000018</v>
      </c>
      <c r="Y68" s="165">
        <f>Y$78*'TABLE 4 - October 2016 Dataset'!N68</f>
        <v>18024.999999999989</v>
      </c>
      <c r="Z68" s="165">
        <f>Z$78*'TABLE 4 - October 2016 Dataset'!O68</f>
        <v>13260.000000000005</v>
      </c>
      <c r="AA68" s="165">
        <f>AA$78*'TABLE 4 - October 2016 Dataset'!P68</f>
        <v>26679.999999999989</v>
      </c>
      <c r="AB68" s="162">
        <f t="shared" si="62"/>
        <v>264410.32071503677</v>
      </c>
      <c r="AC68" s="140">
        <f>AC$78*'TABLE 4 - October 2016 Dataset'!Q68</f>
        <v>309291.20479997253</v>
      </c>
      <c r="AD68" s="140">
        <f>AD$78*'TABLE 4 - October 2016 Dataset'!R68</f>
        <v>23615.989949748753</v>
      </c>
      <c r="AE68" s="140">
        <f>AE$78*'TABLE 4 - October 2016 Dataset'!S68</f>
        <v>0</v>
      </c>
      <c r="AF68" s="140">
        <f t="shared" si="63"/>
        <v>110000</v>
      </c>
      <c r="AG68" s="140">
        <f>IF('TABLE 4 - October 2016 Dataset'!X68="No",0,"*CHECK*")</f>
        <v>0</v>
      </c>
      <c r="AH68" s="140">
        <f>'TABLE 4 - October 2016 Dataset'!Y68</f>
        <v>16992</v>
      </c>
      <c r="AI68" s="170">
        <f>IF('TABLE 4 - October 2016 Dataset'!Z68&gt;0,('TABLE 4 - October 2016 Dataset'!Z68*(1+'TABLE 1 - 2018-19 Provisional'!AI$79)*(1+AI$79))-((AI$76*SUM('TABLE 4 - October 2016 Dataset'!F68:H68))+AI$77),0)</f>
        <v>0</v>
      </c>
      <c r="AJ68" s="166" t="str">
        <f>IF('TABLE 4 - October 2016 Dataset'!AA68="Yes",'TABLE 2 - 2019-20 Illustrative'!AJ$78*SUM('TABLE 4 - October 2016 Dataset'!F68:H68),"")</f>
        <v/>
      </c>
      <c r="AK68" s="140">
        <f t="shared" si="64"/>
        <v>0</v>
      </c>
      <c r="AL68" s="94">
        <f t="shared" si="48"/>
        <v>4777511.8554647584</v>
      </c>
      <c r="AM68" s="103"/>
      <c r="AN68" s="80">
        <f t="shared" si="65"/>
        <v>4760519.8554647584</v>
      </c>
      <c r="AO68" s="165">
        <f>AN68/SUM('TABLE 4 - October 2016 Dataset'!F68:H68)</f>
        <v>4770.0599754155892</v>
      </c>
      <c r="AP68" s="165">
        <f t="shared" si="66"/>
        <v>29.940024584410821</v>
      </c>
      <c r="AQ68" s="165">
        <f>AP68*SUM('TABLE 4 - October 2016 Dataset'!F68:H68)</f>
        <v>29880.144535241998</v>
      </c>
      <c r="AR68" s="94">
        <f t="shared" si="67"/>
        <v>4807392</v>
      </c>
      <c r="AS68" s="103"/>
      <c r="AT68" s="80">
        <f>N68-(AF68+AG68+'TABLE 4 - October 2016 Dataset'!Y68)</f>
        <v>4427392.9466296714</v>
      </c>
      <c r="AU68" s="187">
        <f t="shared" si="68"/>
        <v>4680400</v>
      </c>
      <c r="AV68" s="165">
        <f t="shared" si="69"/>
        <v>4436.2654775848414</v>
      </c>
      <c r="AW68" s="165">
        <f>AU68/SUM('TABLE 4 - October 2016 Dataset'!F68:H68)</f>
        <v>4689.7795591182366</v>
      </c>
      <c r="AX68" s="173">
        <f t="shared" si="70"/>
        <v>5.7145831964819926E-2</v>
      </c>
      <c r="AY68" s="173">
        <f t="shared" si="71"/>
        <v>0</v>
      </c>
      <c r="AZ68" s="175">
        <f t="shared" si="72"/>
        <v>0</v>
      </c>
      <c r="BA68" s="165">
        <f t="shared" si="73"/>
        <v>0</v>
      </c>
      <c r="BB68" s="94">
        <f t="shared" si="74"/>
        <v>4807392</v>
      </c>
      <c r="BC68" s="103"/>
      <c r="BD68" s="184">
        <f>'TABLE 1 - 2018-19 Provisional'!BR68-('TABLE 2 - 2019-20 Illustrative'!AF68+'TABLE 2 - 2019-20 Illustrative'!AG68+'TABLE 1 - 2018-19 Provisional'!AH68)</f>
        <v>4560214.7350285612</v>
      </c>
      <c r="BE68" s="165">
        <f>BD68/SUM('TABLE 4 - October 2016 Dataset'!F68:H68)</f>
        <v>4569.3534419123862</v>
      </c>
      <c r="BF68" s="173">
        <f t="shared" si="75"/>
        <v>2.9999999999999805E-2</v>
      </c>
      <c r="BG68" s="173">
        <f t="shared" si="76"/>
        <v>2.6355176664873969E-2</v>
      </c>
      <c r="BH68" s="173">
        <f>'TABLE 1 - 2018-19 Provisional'!BF68</f>
        <v>5.7145831964819926E-2</v>
      </c>
      <c r="BI68" s="185">
        <f t="shared" si="77"/>
        <v>5.2710353329747939E-3</v>
      </c>
      <c r="BJ68" s="185">
        <f t="shared" si="81"/>
        <v>2.6355176664873969E-2</v>
      </c>
      <c r="BK68" s="173">
        <f t="shared" si="78"/>
        <v>0</v>
      </c>
      <c r="BL68" s="175">
        <f t="shared" si="79"/>
        <v>0</v>
      </c>
      <c r="BM68" s="165">
        <f>BL68*SUM('TABLE 4 - October 2016 Dataset'!F68:H68)</f>
        <v>0</v>
      </c>
      <c r="BN68" s="94">
        <f t="shared" si="51"/>
        <v>4807392</v>
      </c>
      <c r="BO68" s="103"/>
      <c r="BP68" s="179">
        <f t="shared" si="52"/>
        <v>4790400</v>
      </c>
      <c r="BQ68" s="175">
        <f>BP68/SUM('TABLE 4 - October 2016 Dataset'!F68:H68)</f>
        <v>4800</v>
      </c>
      <c r="BR68" s="175">
        <f t="shared" si="80"/>
        <v>0</v>
      </c>
      <c r="BS68" s="175">
        <f>BR68*SUM('TABLE 4 - October 2016 Dataset'!F68:H68)</f>
        <v>0</v>
      </c>
      <c r="BT68" s="94">
        <f t="shared" si="53"/>
        <v>4807392</v>
      </c>
      <c r="BU68" s="103"/>
      <c r="BV68" s="80">
        <f t="shared" si="54"/>
        <v>4554384.9466296714</v>
      </c>
      <c r="BW68" s="122">
        <f t="shared" si="55"/>
        <v>4563.511970570813</v>
      </c>
      <c r="BX68" s="264">
        <f t="shared" si="56"/>
        <v>4807392</v>
      </c>
      <c r="BY68" s="81">
        <f>BX68/SUM('TABLE 4 - October 2016 Dataset'!F68:H68)</f>
        <v>4817.0260521042082</v>
      </c>
      <c r="BZ68" s="264">
        <f t="shared" si="57"/>
        <v>253007.05337032862</v>
      </c>
      <c r="CA68" s="81">
        <f t="shared" si="58"/>
        <v>253.51408153339526</v>
      </c>
      <c r="CB68" s="269">
        <f t="shared" si="59"/>
        <v>5.5552408576608862E-2</v>
      </c>
      <c r="CC68" s="103"/>
      <c r="CD68" s="80">
        <f>'TABLE 5 - DfE Published Figures'!O67</f>
        <v>4790000</v>
      </c>
      <c r="CE68" s="84">
        <f t="shared" si="60"/>
        <v>17000</v>
      </c>
      <c r="CF68" s="81"/>
      <c r="CG68" s="81"/>
      <c r="CH68" s="81"/>
      <c r="CI68" s="81"/>
      <c r="CJ68" s="2"/>
    </row>
    <row r="69" spans="2:88" ht="15.75">
      <c r="B69" s="198">
        <v>4003</v>
      </c>
      <c r="C69" s="60" t="s">
        <v>150</v>
      </c>
      <c r="D69" s="204" t="s">
        <v>71</v>
      </c>
      <c r="F69" s="80">
        <v>522</v>
      </c>
      <c r="G69" s="163"/>
      <c r="H69" s="163"/>
      <c r="I69" s="94">
        <f>SUM(F69:H69)</f>
        <v>522</v>
      </c>
      <c r="J69" s="103"/>
      <c r="K69" s="80">
        <v>2708707.8136682264</v>
      </c>
      <c r="L69" s="163"/>
      <c r="M69" s="163"/>
      <c r="N69" s="94">
        <f>SUM(K69:M69)</f>
        <v>2708707.8136682264</v>
      </c>
      <c r="O69" s="103"/>
      <c r="P69" s="159"/>
      <c r="Q69" s="81">
        <f>Q$78*'TABLE 4 - October 2016 Dataset'!G69</f>
        <v>1255361.25</v>
      </c>
      <c r="R69" s="122">
        <f>R$78*'TABLE 4 - October 2016 Dataset'!H69</f>
        <v>864004.57000000007</v>
      </c>
      <c r="S69" s="162">
        <f t="shared" si="61"/>
        <v>2119365.8200000003</v>
      </c>
      <c r="T69" s="165">
        <f>T$78*'TABLE 4 - October 2016 Dataset'!I69</f>
        <v>38280.000000000073</v>
      </c>
      <c r="U69" s="165">
        <f>U$78*'TABLE 4 - October 2016 Dataset'!J69</f>
        <v>118342.22003929275</v>
      </c>
      <c r="V69" s="165">
        <f>V$78*'TABLE 4 - October 2016 Dataset'!K69</f>
        <v>0</v>
      </c>
      <c r="W69" s="165">
        <f>W$78*'TABLE 4 - October 2016 Dataset'!L69</f>
        <v>42681.765834932987</v>
      </c>
      <c r="X69" s="165">
        <f>X$78*'TABLE 4 - October 2016 Dataset'!M69</f>
        <v>1683.2245681381967</v>
      </c>
      <c r="Y69" s="165">
        <f>Y$78*'TABLE 4 - October 2016 Dataset'!N69</f>
        <v>26831.401151631479</v>
      </c>
      <c r="Z69" s="165">
        <f>Z$78*'TABLE 4 - October 2016 Dataset'!O69</f>
        <v>781.49712092130505</v>
      </c>
      <c r="AA69" s="165">
        <f>AA$78*'TABLE 4 - October 2016 Dataset'!P69</f>
        <v>14818.387715930903</v>
      </c>
      <c r="AB69" s="162">
        <f t="shared" si="62"/>
        <v>243418.49643084768</v>
      </c>
      <c r="AC69" s="140">
        <f>AC$78*'TABLE 4 - October 2016 Dataset'!Q69</f>
        <v>196901.67866971547</v>
      </c>
      <c r="AD69" s="140">
        <f>AD$78*'TABLE 4 - October 2016 Dataset'!R69</f>
        <v>20814.875239923236</v>
      </c>
      <c r="AE69" s="140">
        <f>AE$78*'TABLE 4 - October 2016 Dataset'!S69</f>
        <v>0</v>
      </c>
      <c r="AF69" s="140">
        <f t="shared" si="63"/>
        <v>110000</v>
      </c>
      <c r="AG69" s="140">
        <f>IF('TABLE 4 - October 2016 Dataset'!X69="No",0,"*CHECK*")</f>
        <v>0</v>
      </c>
      <c r="AH69" s="140">
        <f>'TABLE 4 - October 2016 Dataset'!Y69</f>
        <v>97429.84</v>
      </c>
      <c r="AI69" s="170">
        <f>IF('TABLE 4 - October 2016 Dataset'!Z69&gt;0,('TABLE 4 - October 2016 Dataset'!Z69*(1+'TABLE 1 - 2018-19 Provisional'!AI$79)*(1+AI$79))-((AI$76*SUM('TABLE 4 - October 2016 Dataset'!F69:H69))+AI$77),0)</f>
        <v>0</v>
      </c>
      <c r="AJ69" s="166" t="str">
        <f>IF('TABLE 4 - October 2016 Dataset'!AA69="Yes",'TABLE 2 - 2019-20 Illustrative'!AJ$78*SUM('TABLE 4 - October 2016 Dataset'!F69:H69),"")</f>
        <v/>
      </c>
      <c r="AK69" s="140">
        <f t="shared" si="64"/>
        <v>0</v>
      </c>
      <c r="AL69" s="94">
        <f t="shared" si="48"/>
        <v>2787930.7103404864</v>
      </c>
      <c r="AM69" s="103"/>
      <c r="AN69" s="80">
        <f t="shared" si="65"/>
        <v>2690500.8703404865</v>
      </c>
      <c r="AO69" s="165">
        <f>AN69/SUM('TABLE 4 - October 2016 Dataset'!F69:H69)</f>
        <v>5154.216226705913</v>
      </c>
      <c r="AP69" s="165">
        <f t="shared" si="66"/>
        <v>0</v>
      </c>
      <c r="AQ69" s="165">
        <f>AP69*SUM('TABLE 4 - October 2016 Dataset'!F69:H69)</f>
        <v>0</v>
      </c>
      <c r="AR69" s="94">
        <f t="shared" si="67"/>
        <v>2787930.7103404864</v>
      </c>
      <c r="AS69" s="103"/>
      <c r="AT69" s="80">
        <f>N69-(AF69+AG69+'TABLE 4 - October 2016 Dataset'!Y69)</f>
        <v>2501277.9736682265</v>
      </c>
      <c r="AU69" s="187">
        <f t="shared" si="68"/>
        <v>2580500.8703404865</v>
      </c>
      <c r="AV69" s="165">
        <f t="shared" si="69"/>
        <v>4791.7202560693995</v>
      </c>
      <c r="AW69" s="165">
        <f>AU69/SUM('TABLE 4 - October 2016 Dataset'!F69:H69)</f>
        <v>4943.488257357254</v>
      </c>
      <c r="AX69" s="173">
        <f t="shared" si="70"/>
        <v>3.1672967781376293E-2</v>
      </c>
      <c r="AY69" s="173">
        <f t="shared" si="71"/>
        <v>0</v>
      </c>
      <c r="AZ69" s="175">
        <f t="shared" si="72"/>
        <v>0</v>
      </c>
      <c r="BA69" s="165">
        <f t="shared" si="73"/>
        <v>0</v>
      </c>
      <c r="BB69" s="94">
        <f t="shared" si="74"/>
        <v>2787930.7103404864</v>
      </c>
      <c r="BC69" s="103"/>
      <c r="BD69" s="184">
        <f>'TABLE 1 - 2018-19 Provisional'!BR69-('TABLE 2 - 2019-20 Illustrative'!AF69+'TABLE 2 - 2019-20 Illustrative'!AG69+'TABLE 1 - 2018-19 Provisional'!AH69)</f>
        <v>2576316.3128782734</v>
      </c>
      <c r="BE69" s="165">
        <f>BD69/SUM('TABLE 4 - October 2016 Dataset'!F69:H69)</f>
        <v>4935.4718637514816</v>
      </c>
      <c r="BF69" s="173">
        <f t="shared" si="75"/>
        <v>3.0000000000000027E-2</v>
      </c>
      <c r="BG69" s="173">
        <f t="shared" si="76"/>
        <v>1.6242405644431024E-3</v>
      </c>
      <c r="BH69" s="173">
        <f>'TABLE 1 - 2018-19 Provisional'!BF69</f>
        <v>3.1672967781376293E-2</v>
      </c>
      <c r="BI69" s="185">
        <f t="shared" si="77"/>
        <v>3.2484811288862052E-4</v>
      </c>
      <c r="BJ69" s="185">
        <f t="shared" si="81"/>
        <v>1.6242405644431024E-3</v>
      </c>
      <c r="BK69" s="173">
        <f t="shared" si="78"/>
        <v>0</v>
      </c>
      <c r="BL69" s="175">
        <f t="shared" si="79"/>
        <v>0</v>
      </c>
      <c r="BM69" s="165">
        <f>BL69*SUM('TABLE 4 - October 2016 Dataset'!F69:H69)</f>
        <v>0</v>
      </c>
      <c r="BN69" s="94">
        <f t="shared" si="51"/>
        <v>2787930.7103404864</v>
      </c>
      <c r="BO69" s="103"/>
      <c r="BP69" s="179">
        <f t="shared" si="52"/>
        <v>2690500.8703404865</v>
      </c>
      <c r="BQ69" s="175">
        <f>BP69/SUM('TABLE 4 - October 2016 Dataset'!F69:H69)</f>
        <v>5154.216226705913</v>
      </c>
      <c r="BR69" s="175">
        <f t="shared" si="80"/>
        <v>0</v>
      </c>
      <c r="BS69" s="175">
        <f>BR69*SUM('TABLE 4 - October 2016 Dataset'!F69:H69)</f>
        <v>0</v>
      </c>
      <c r="BT69" s="94">
        <f t="shared" si="53"/>
        <v>2787930.7103404864</v>
      </c>
      <c r="BU69" s="103"/>
      <c r="BV69" s="80">
        <f t="shared" si="54"/>
        <v>2708707.8136682264</v>
      </c>
      <c r="BW69" s="122">
        <f t="shared" si="55"/>
        <v>5189.0954284831923</v>
      </c>
      <c r="BX69" s="264">
        <f t="shared" si="56"/>
        <v>2787930.7103404864</v>
      </c>
      <c r="BY69" s="81">
        <f>BX69/SUM('TABLE 4 - October 2016 Dataset'!F69:H69)</f>
        <v>5340.8634297710469</v>
      </c>
      <c r="BZ69" s="264">
        <f t="shared" si="57"/>
        <v>79222.896672260016</v>
      </c>
      <c r="CA69" s="81">
        <f t="shared" si="58"/>
        <v>151.76800128785453</v>
      </c>
      <c r="CB69" s="269">
        <f t="shared" si="59"/>
        <v>2.9247487038837776E-2</v>
      </c>
      <c r="CC69" s="103"/>
      <c r="CD69" s="80">
        <f>'TABLE 5 - DfE Published Figures'!O68</f>
        <v>2788000</v>
      </c>
      <c r="CE69" s="84">
        <f t="shared" si="60"/>
        <v>0</v>
      </c>
      <c r="CF69" s="81"/>
      <c r="CG69" s="81"/>
      <c r="CH69" s="81"/>
      <c r="CI69" s="81"/>
      <c r="CJ69" s="2"/>
    </row>
    <row r="70" spans="2:88" ht="15.75">
      <c r="B70" s="198">
        <v>4703</v>
      </c>
      <c r="C70" s="60" t="s">
        <v>64</v>
      </c>
      <c r="D70" s="204"/>
      <c r="F70" s="80">
        <v>740</v>
      </c>
      <c r="G70" s="163"/>
      <c r="H70" s="163"/>
      <c r="I70" s="94">
        <f t="shared" si="44"/>
        <v>740</v>
      </c>
      <c r="J70" s="103"/>
      <c r="K70" s="80">
        <v>3840837.7017663675</v>
      </c>
      <c r="L70" s="163"/>
      <c r="M70" s="163"/>
      <c r="N70" s="94">
        <f>SUM(K70:M70)</f>
        <v>3840837.7017663675</v>
      </c>
      <c r="O70" s="103"/>
      <c r="P70" s="159"/>
      <c r="Q70" s="81">
        <f>Q$78*'TABLE 4 - October 2016 Dataset'!G70</f>
        <v>1699566</v>
      </c>
      <c r="R70" s="122">
        <f>R$78*'TABLE 4 - October 2016 Dataset'!H70</f>
        <v>1315743.0000000002</v>
      </c>
      <c r="S70" s="162">
        <f t="shared" si="61"/>
        <v>3015309</v>
      </c>
      <c r="T70" s="165">
        <f>T$78*'TABLE 4 - October 2016 Dataset'!I70</f>
        <v>37400.000000000044</v>
      </c>
      <c r="U70" s="165">
        <f>U$78*'TABLE 4 - October 2016 Dataset'!J70</f>
        <v>200283.88375165127</v>
      </c>
      <c r="V70" s="165">
        <f>V$78*'TABLE 4 - October 2016 Dataset'!K70</f>
        <v>0</v>
      </c>
      <c r="W70" s="165">
        <f>W$78*'TABLE 4 - October 2016 Dataset'!L70</f>
        <v>0</v>
      </c>
      <c r="X70" s="165">
        <f>X$78*'TABLE 4 - October 2016 Dataset'!M70</f>
        <v>54954.262516914634</v>
      </c>
      <c r="Y70" s="165">
        <f>Y$78*'TABLE 4 - October 2016 Dataset'!N70</f>
        <v>55179.566982408709</v>
      </c>
      <c r="Z70" s="165">
        <f>Z$78*'TABLE 4 - October 2016 Dataset'!O70</f>
        <v>0</v>
      </c>
      <c r="AA70" s="165">
        <f>AA$78*'TABLE 4 - October 2016 Dataset'!P70</f>
        <v>38622.192151556097</v>
      </c>
      <c r="AB70" s="162">
        <f t="shared" si="62"/>
        <v>386439.90540253074</v>
      </c>
      <c r="AC70" s="140">
        <f>AC$78*'TABLE 4 - October 2016 Dataset'!Q70</f>
        <v>356458.80627830955</v>
      </c>
      <c r="AD70" s="140">
        <f>AD$78*'TABLE 4 - October 2016 Dataset'!R70</f>
        <v>16619.999999999982</v>
      </c>
      <c r="AE70" s="140">
        <f>AE$78*'TABLE 4 - October 2016 Dataset'!S70</f>
        <v>0</v>
      </c>
      <c r="AF70" s="140">
        <f t="shared" si="63"/>
        <v>110000</v>
      </c>
      <c r="AG70" s="140">
        <f>IF('TABLE 4 - October 2016 Dataset'!X70="No",0,"*CHECK*")</f>
        <v>0</v>
      </c>
      <c r="AH70" s="140">
        <f>'TABLE 4 - October 2016 Dataset'!Y70</f>
        <v>159959.44</v>
      </c>
      <c r="AI70" s="170">
        <f>IF('TABLE 4 - October 2016 Dataset'!Z70&gt;0,('TABLE 4 - October 2016 Dataset'!Z70*(1+'TABLE 1 - 2018-19 Provisional'!AI$79)*(1+AI$79))-((AI$76*SUM('TABLE 4 - October 2016 Dataset'!F70:H70))+AI$77),0)</f>
        <v>0</v>
      </c>
      <c r="AJ70" s="166" t="str">
        <f>IF('TABLE 4 - October 2016 Dataset'!AA70="Yes",'TABLE 2 - 2019-20 Illustrative'!AJ$78*SUM('TABLE 4 - October 2016 Dataset'!F70:H70),"")</f>
        <v/>
      </c>
      <c r="AK70" s="140">
        <f t="shared" si="64"/>
        <v>0</v>
      </c>
      <c r="AL70" s="94">
        <f t="shared" si="48"/>
        <v>4044787.1516808406</v>
      </c>
      <c r="AM70" s="103"/>
      <c r="AN70" s="80">
        <f t="shared" si="65"/>
        <v>3884827.7116808407</v>
      </c>
      <c r="AO70" s="165">
        <f>AN70/SUM('TABLE 4 - October 2016 Dataset'!F70:H70)</f>
        <v>5249.767177947082</v>
      </c>
      <c r="AP70" s="165">
        <f t="shared" si="66"/>
        <v>0</v>
      </c>
      <c r="AQ70" s="165">
        <f>AP70*SUM('TABLE 4 - October 2016 Dataset'!F70:H70)</f>
        <v>0</v>
      </c>
      <c r="AR70" s="94">
        <f t="shared" si="67"/>
        <v>4044787.1516808406</v>
      </c>
      <c r="AS70" s="103"/>
      <c r="AT70" s="80">
        <f>N70-(AF70+AG70+'TABLE 4 - October 2016 Dataset'!Y70)</f>
        <v>3570878.2617663676</v>
      </c>
      <c r="AU70" s="187">
        <f t="shared" si="68"/>
        <v>3774827.7116808407</v>
      </c>
      <c r="AV70" s="165">
        <f t="shared" si="69"/>
        <v>4825.5111645491452</v>
      </c>
      <c r="AW70" s="165">
        <f>AU70/SUM('TABLE 4 - October 2016 Dataset'!F70:H70)</f>
        <v>5101.1185292984337</v>
      </c>
      <c r="AX70" s="173">
        <f t="shared" si="70"/>
        <v>5.7114646583775741E-2</v>
      </c>
      <c r="AY70" s="173">
        <f t="shared" si="71"/>
        <v>0</v>
      </c>
      <c r="AZ70" s="175">
        <f t="shared" si="72"/>
        <v>0</v>
      </c>
      <c r="BA70" s="165">
        <f t="shared" si="73"/>
        <v>0</v>
      </c>
      <c r="BB70" s="94">
        <f t="shared" si="74"/>
        <v>4044787.1516808406</v>
      </c>
      <c r="BC70" s="103"/>
      <c r="BD70" s="184">
        <f>'TABLE 1 - 2018-19 Provisional'!BR70-('TABLE 2 - 2019-20 Illustrative'!AF70+'TABLE 2 - 2019-20 Illustrative'!AG70+'TABLE 1 - 2018-19 Provisional'!AH70)</f>
        <v>3678004.6096193581</v>
      </c>
      <c r="BE70" s="165">
        <f>BD70/SUM('TABLE 4 - October 2016 Dataset'!F70:H70)</f>
        <v>4970.2764994856188</v>
      </c>
      <c r="BF70" s="173">
        <f t="shared" si="75"/>
        <v>2.9999999999999805E-2</v>
      </c>
      <c r="BG70" s="173">
        <f t="shared" si="76"/>
        <v>2.6324899595898898E-2</v>
      </c>
      <c r="BH70" s="173">
        <f>'TABLE 1 - 2018-19 Provisional'!BF70</f>
        <v>5.7114646583775741E-2</v>
      </c>
      <c r="BI70" s="185">
        <f t="shared" si="77"/>
        <v>5.2649799191797804E-3</v>
      </c>
      <c r="BJ70" s="185">
        <f t="shared" si="81"/>
        <v>2.6324899595898898E-2</v>
      </c>
      <c r="BK70" s="173">
        <f t="shared" si="78"/>
        <v>0</v>
      </c>
      <c r="BL70" s="175">
        <f t="shared" si="79"/>
        <v>0</v>
      </c>
      <c r="BM70" s="165">
        <f>BL70*SUM('TABLE 4 - October 2016 Dataset'!F70:H70)</f>
        <v>0</v>
      </c>
      <c r="BN70" s="94">
        <f t="shared" si="51"/>
        <v>4044787.1516808406</v>
      </c>
      <c r="BO70" s="103"/>
      <c r="BP70" s="179">
        <f t="shared" si="52"/>
        <v>3884827.7116808407</v>
      </c>
      <c r="BQ70" s="175">
        <f>BP70/SUM('TABLE 4 - October 2016 Dataset'!F70:H70)</f>
        <v>5249.767177947082</v>
      </c>
      <c r="BR70" s="175">
        <f t="shared" si="80"/>
        <v>0</v>
      </c>
      <c r="BS70" s="175">
        <f>BR70*SUM('TABLE 4 - October 2016 Dataset'!F70:H70)</f>
        <v>0</v>
      </c>
      <c r="BT70" s="94">
        <f t="shared" si="53"/>
        <v>4044787.1516808406</v>
      </c>
      <c r="BU70" s="103"/>
      <c r="BV70" s="80">
        <f t="shared" si="54"/>
        <v>3840837.7017663675</v>
      </c>
      <c r="BW70" s="122">
        <f t="shared" si="55"/>
        <v>5190.3212186031997</v>
      </c>
      <c r="BX70" s="264">
        <f t="shared" si="56"/>
        <v>4044787.1516808406</v>
      </c>
      <c r="BY70" s="81">
        <f>BX70/SUM('TABLE 4 - October 2016 Dataset'!F70:H70)</f>
        <v>5465.9285833524873</v>
      </c>
      <c r="BZ70" s="264">
        <f t="shared" si="57"/>
        <v>203949.44991447311</v>
      </c>
      <c r="CA70" s="81">
        <f t="shared" si="58"/>
        <v>275.60736474928763</v>
      </c>
      <c r="CB70" s="269">
        <f t="shared" si="59"/>
        <v>5.310025201551169E-2</v>
      </c>
      <c r="CC70" s="103"/>
      <c r="CD70" s="80">
        <f>'TABLE 5 - DfE Published Figures'!O69</f>
        <v>4045000</v>
      </c>
      <c r="CE70" s="84">
        <f t="shared" si="60"/>
        <v>0</v>
      </c>
      <c r="CF70" s="81"/>
      <c r="CG70" s="81"/>
      <c r="CH70" s="81"/>
      <c r="CI70" s="81"/>
      <c r="CJ70" s="2"/>
    </row>
    <row r="71" spans="2:88" ht="5.0999999999999996" customHeight="1">
      <c r="B71" s="198"/>
      <c r="C71" s="60"/>
      <c r="D71" s="204"/>
      <c r="F71" s="80"/>
      <c r="G71" s="108"/>
      <c r="H71" s="108"/>
      <c r="I71" s="94"/>
      <c r="J71" s="103"/>
      <c r="K71" s="80"/>
      <c r="L71" s="108"/>
      <c r="M71" s="108"/>
      <c r="N71" s="94"/>
      <c r="O71" s="103"/>
      <c r="P71" s="80"/>
      <c r="Q71" s="81"/>
      <c r="R71" s="122"/>
      <c r="S71" s="129"/>
      <c r="T71" s="81"/>
      <c r="U71" s="81"/>
      <c r="V71" s="81"/>
      <c r="W71" s="81"/>
      <c r="X71" s="81"/>
      <c r="Y71" s="81"/>
      <c r="Z71" s="108"/>
      <c r="AA71" s="108"/>
      <c r="AB71" s="129"/>
      <c r="AC71" s="140"/>
      <c r="AD71" s="140"/>
      <c r="AE71" s="140"/>
      <c r="AF71" s="140"/>
      <c r="AG71" s="140"/>
      <c r="AH71" s="140"/>
      <c r="AI71" s="140"/>
      <c r="AJ71" s="140"/>
      <c r="AK71" s="140"/>
      <c r="AL71" s="94"/>
      <c r="AM71" s="103"/>
      <c r="AN71" s="80"/>
      <c r="AO71" s="108"/>
      <c r="AP71" s="108"/>
      <c r="AQ71" s="108"/>
      <c r="AR71" s="94"/>
      <c r="AS71" s="103"/>
      <c r="AT71" s="80"/>
      <c r="AU71" s="108"/>
      <c r="AV71" s="108"/>
      <c r="AW71" s="108"/>
      <c r="AX71" s="108"/>
      <c r="AY71" s="108"/>
      <c r="AZ71" s="108"/>
      <c r="BA71" s="108"/>
      <c r="BB71" s="94"/>
      <c r="BC71" s="103"/>
      <c r="BD71" s="186"/>
      <c r="BE71" s="108"/>
      <c r="BF71" s="81"/>
      <c r="BG71" s="81"/>
      <c r="BH71" s="81"/>
      <c r="BI71" s="108"/>
      <c r="BJ71" s="108"/>
      <c r="BK71" s="108"/>
      <c r="BL71" s="108"/>
      <c r="BM71" s="108"/>
      <c r="BN71" s="94"/>
      <c r="BO71" s="103"/>
      <c r="BP71" s="80"/>
      <c r="BQ71" s="108"/>
      <c r="BR71" s="108"/>
      <c r="BS71" s="108"/>
      <c r="BT71" s="94"/>
      <c r="BU71" s="103"/>
      <c r="BV71" s="188"/>
      <c r="BW71" s="261"/>
      <c r="BX71" s="265"/>
      <c r="BY71" s="212"/>
      <c r="BZ71" s="265"/>
      <c r="CA71" s="212"/>
      <c r="CB71" s="84"/>
      <c r="CC71" s="103"/>
      <c r="CD71" s="188"/>
      <c r="CE71" s="84"/>
      <c r="CF71" s="81"/>
      <c r="CG71" s="81"/>
      <c r="CH71" s="81"/>
      <c r="CI71" s="81"/>
      <c r="CJ71" s="2"/>
    </row>
    <row r="72" spans="2:88" s="104" customFormat="1" ht="15.75">
      <c r="B72" s="205"/>
      <c r="C72" s="85" t="s">
        <v>170</v>
      </c>
      <c r="D72" s="206"/>
      <c r="E72" s="86"/>
      <c r="F72" s="87">
        <f>SUM(F61:F71)</f>
        <v>8620</v>
      </c>
      <c r="G72" s="109">
        <f>SUM(G61:G71)</f>
        <v>20</v>
      </c>
      <c r="H72" s="112">
        <f>SUM(H61:H71)</f>
        <v>0</v>
      </c>
      <c r="I72" s="89">
        <f>SUM(I61:I71)</f>
        <v>8640</v>
      </c>
      <c r="J72" s="103"/>
      <c r="K72" s="87">
        <f>SUM(K61:K71)</f>
        <v>40534233.082311213</v>
      </c>
      <c r="L72" s="109">
        <f>SUM(L61:L71)</f>
        <v>86489.561760000011</v>
      </c>
      <c r="M72" s="112">
        <f>SUM(M61:M71)</f>
        <v>0</v>
      </c>
      <c r="N72" s="89">
        <f>SUM(N61:N71)</f>
        <v>40620722.644071214</v>
      </c>
      <c r="O72" s="103"/>
      <c r="P72" s="87">
        <f t="shared" ref="P72:AL72" si="82">SUM(P61:P71)</f>
        <v>0</v>
      </c>
      <c r="Q72" s="88">
        <f t="shared" si="82"/>
        <v>20761743.750000004</v>
      </c>
      <c r="R72" s="123">
        <f t="shared" si="82"/>
        <v>14319669.65</v>
      </c>
      <c r="S72" s="130">
        <f t="shared" si="82"/>
        <v>35081413.400000006</v>
      </c>
      <c r="T72" s="88">
        <f t="shared" si="82"/>
        <v>267960.00000000012</v>
      </c>
      <c r="U72" s="88">
        <f t="shared" si="82"/>
        <v>1213435.1315000635</v>
      </c>
      <c r="V72" s="88">
        <f t="shared" si="82"/>
        <v>0</v>
      </c>
      <c r="W72" s="88">
        <f t="shared" si="82"/>
        <v>138934.19566443679</v>
      </c>
      <c r="X72" s="88">
        <f t="shared" si="82"/>
        <v>145888.5773815971</v>
      </c>
      <c r="Y72" s="88">
        <f t="shared" si="82"/>
        <v>192600.84058817109</v>
      </c>
      <c r="Z72" s="88">
        <f t="shared" si="82"/>
        <v>56353.033982616827</v>
      </c>
      <c r="AA72" s="88">
        <f t="shared" si="82"/>
        <v>230556.79304478056</v>
      </c>
      <c r="AB72" s="130">
        <f t="shared" si="82"/>
        <v>2245728.5721616661</v>
      </c>
      <c r="AC72" s="130">
        <f t="shared" si="82"/>
        <v>2768448.1269266689</v>
      </c>
      <c r="AD72" s="130">
        <f t="shared" si="82"/>
        <v>180504.05641688849</v>
      </c>
      <c r="AE72" s="130">
        <f t="shared" si="82"/>
        <v>0</v>
      </c>
      <c r="AF72" s="130">
        <f t="shared" si="82"/>
        <v>990000</v>
      </c>
      <c r="AG72" s="130">
        <f t="shared" si="82"/>
        <v>0</v>
      </c>
      <c r="AH72" s="130">
        <f t="shared" si="82"/>
        <v>983585.04</v>
      </c>
      <c r="AI72" s="130">
        <f t="shared" si="82"/>
        <v>0</v>
      </c>
      <c r="AJ72" s="130">
        <f t="shared" si="82"/>
        <v>176616</v>
      </c>
      <c r="AK72" s="130">
        <f t="shared" si="82"/>
        <v>0</v>
      </c>
      <c r="AL72" s="89">
        <f t="shared" si="82"/>
        <v>42426295.195505232</v>
      </c>
      <c r="AM72" s="103"/>
      <c r="AN72" s="87">
        <f>SUM(AN61:AN71)</f>
        <v>41266094.155505225</v>
      </c>
      <c r="AO72" s="88">
        <f>AN72/SUM('TABLE 4 - October 2016 Dataset'!F72:H72)</f>
        <v>4776.1683050353267</v>
      </c>
      <c r="AP72" s="88">
        <f>IF(AO72&lt;AP$78,AP$78-AO72,0)</f>
        <v>23.831694964673261</v>
      </c>
      <c r="AQ72" s="123">
        <f>SUM(AQ61:AQ71)</f>
        <v>807184.18136934983</v>
      </c>
      <c r="AR72" s="89">
        <f>SUM(AR61:AR71)</f>
        <v>43233479.376874581</v>
      </c>
      <c r="AS72" s="103"/>
      <c r="AT72" s="87">
        <f>SUM(AT61:AT71)</f>
        <v>38647137.604071215</v>
      </c>
      <c r="AU72" s="88">
        <f>SUM(AU61:AU71)</f>
        <v>41259894.336874574</v>
      </c>
      <c r="AV72" s="88">
        <f>AT72/I72</f>
        <v>4473.0483338045387</v>
      </c>
      <c r="AW72" s="88">
        <f>AU72/SUM('TABLE 4 - October 2016 Dataset'!F72:H72)</f>
        <v>4775.4507334345572</v>
      </c>
      <c r="AX72" s="174">
        <f>(AW72/AV72)-1</f>
        <v>6.760543975003519E-2</v>
      </c>
      <c r="AY72" s="174">
        <f>IF(AX72&lt;AY$78,AY$78-AX72,0)</f>
        <v>0</v>
      </c>
      <c r="AZ72" s="88">
        <f>IF(AX72&lt;AY$78,(AY$78-AX72)*AV72,0)</f>
        <v>0</v>
      </c>
      <c r="BA72" s="123">
        <f>SUM(BA61:BA71)</f>
        <v>0</v>
      </c>
      <c r="BB72" s="89">
        <f>SUM(BB61:BB71)</f>
        <v>43233479.376874581</v>
      </c>
      <c r="BC72" s="103"/>
      <c r="BD72" s="87">
        <f>SUM(BD61:BD71)</f>
        <v>40018575.082358554</v>
      </c>
      <c r="BE72" s="88">
        <f>BD72/SUM('TABLE 4 - October 2016 Dataset'!F72:H72)</f>
        <v>4631.7795234211289</v>
      </c>
      <c r="BF72" s="174">
        <f t="shared" ref="BF72" si="83">(BE72/AV72)-1</f>
        <v>3.548613334155104E-2</v>
      </c>
      <c r="BG72" s="174">
        <f t="shared" ref="BG72" si="84">(AW72/BE72)-1</f>
        <v>3.1018577047317919E-2</v>
      </c>
      <c r="BH72" s="174">
        <f>'TABLE 1 - 2018-19 Provisional'!BF72</f>
        <v>6.760543975003519E-2</v>
      </c>
      <c r="BI72" s="174">
        <f>IF(BH72&gt;AY$78,BI$77*BG72,"            NA")</f>
        <v>0</v>
      </c>
      <c r="BJ72" s="174">
        <f>IF(BH72&gt;AY$78,IF(BI72&gt;BJ$78,BI72,IF(BG72&lt;BJ$78,BG72,BJ$78)),AY$78)</f>
        <v>0.03</v>
      </c>
      <c r="BK72" s="174">
        <f>IF(BG72&gt;BJ72,BJ72-BG72,0)</f>
        <v>-1.0185770473179201E-3</v>
      </c>
      <c r="BL72" s="178">
        <f>BK72*BE72</f>
        <v>-4.7178243107938966</v>
      </c>
      <c r="BM72" s="177">
        <f>SUM(BM61:BM71)</f>
        <v>-215057.99999999852</v>
      </c>
      <c r="BN72" s="89">
        <f>SUM(BN61:BN71)</f>
        <v>43018421.376874581</v>
      </c>
      <c r="BO72" s="103"/>
      <c r="BP72" s="87">
        <f>SUM(BP61:BP71)</f>
        <v>41858220.336874574</v>
      </c>
      <c r="BQ72" s="88">
        <f>BP72/SUM('TABLE 4 - October 2016 Dataset'!F72:H72)</f>
        <v>4844.701427879002</v>
      </c>
      <c r="BR72" s="88">
        <f>IF(BQ72&lt;BR$78,BR$78-BQ72,0)</f>
        <v>0</v>
      </c>
      <c r="BS72" s="123">
        <f>SUM(BS61:BS71)</f>
        <v>215057.99999999633</v>
      </c>
      <c r="BT72" s="89">
        <f>SUM(BT61:BT71)</f>
        <v>43233479.376874581</v>
      </c>
      <c r="BU72" s="103"/>
      <c r="BV72" s="87">
        <f>SUM(BV61:BV71)</f>
        <v>40620722.644071214</v>
      </c>
      <c r="BW72" s="123">
        <f t="shared" ref="BW72" si="85">BV72/I72</f>
        <v>4701.4725282489835</v>
      </c>
      <c r="BX72" s="266">
        <f>SUM(BX61:BX71)</f>
        <v>43233479.376874581</v>
      </c>
      <c r="BY72" s="88">
        <f>BX72/SUM('TABLE 4 - October 2016 Dataset'!F72:H72)</f>
        <v>5003.8749278790028</v>
      </c>
      <c r="BZ72" s="266">
        <f>SUM(BZ61:BZ71)</f>
        <v>2612756.7328033624</v>
      </c>
      <c r="CA72" s="88">
        <f t="shared" ref="CA72" si="86">BY72-BW72</f>
        <v>302.40239963001932</v>
      </c>
      <c r="CB72" s="270">
        <f t="shared" ref="CB72" si="87">CA72/BW72</f>
        <v>6.4320784140080065E-2</v>
      </c>
      <c r="CC72" s="103"/>
      <c r="CD72" s="87">
        <f>SUM(CD61:CD71)</f>
        <v>43116000</v>
      </c>
      <c r="CE72" s="90">
        <f>SUM(CE61:CE71)</f>
        <v>117000</v>
      </c>
      <c r="CF72" s="83"/>
      <c r="CG72" s="83"/>
      <c r="CH72" s="83"/>
      <c r="CI72" s="83"/>
      <c r="CJ72" s="2"/>
    </row>
    <row r="73" spans="2:88" ht="4.5" customHeight="1" thickBot="1">
      <c r="B73" s="208"/>
      <c r="C73" s="92"/>
      <c r="D73" s="207"/>
      <c r="E73" s="92"/>
      <c r="F73" s="93"/>
      <c r="G73" s="110"/>
      <c r="H73" s="110"/>
      <c r="I73" s="94"/>
      <c r="J73" s="103"/>
      <c r="K73" s="93"/>
      <c r="L73" s="110"/>
      <c r="M73" s="110"/>
      <c r="N73" s="94"/>
      <c r="O73" s="103"/>
      <c r="P73" s="93"/>
      <c r="Q73" s="83"/>
      <c r="R73" s="124"/>
      <c r="S73" s="131"/>
      <c r="T73" s="83"/>
      <c r="U73" s="83"/>
      <c r="V73" s="83"/>
      <c r="W73" s="83"/>
      <c r="X73" s="83"/>
      <c r="Y73" s="83"/>
      <c r="Z73" s="83"/>
      <c r="AA73" s="83"/>
      <c r="AB73" s="131"/>
      <c r="AC73" s="131"/>
      <c r="AD73" s="131"/>
      <c r="AE73" s="131"/>
      <c r="AF73" s="131"/>
      <c r="AG73" s="131"/>
      <c r="AH73" s="131"/>
      <c r="AI73" s="131"/>
      <c r="AJ73" s="131"/>
      <c r="AK73" s="131"/>
      <c r="AL73" s="94"/>
      <c r="AM73" s="103"/>
      <c r="AN73" s="93"/>
      <c r="AO73" s="110"/>
      <c r="AP73" s="110"/>
      <c r="AQ73" s="110"/>
      <c r="AR73" s="94"/>
      <c r="AS73" s="103"/>
      <c r="AT73" s="93"/>
      <c r="AU73" s="110"/>
      <c r="AV73" s="110"/>
      <c r="AW73" s="110"/>
      <c r="AX73" s="110"/>
      <c r="AY73" s="110"/>
      <c r="AZ73" s="110"/>
      <c r="BA73" s="110"/>
      <c r="BB73" s="94"/>
      <c r="BC73" s="103"/>
      <c r="BD73" s="93"/>
      <c r="BE73" s="110"/>
      <c r="BF73" s="83"/>
      <c r="BG73" s="83"/>
      <c r="BH73" s="83"/>
      <c r="BI73" s="110"/>
      <c r="BJ73" s="110"/>
      <c r="BK73" s="110"/>
      <c r="BL73" s="110"/>
      <c r="BM73" s="110"/>
      <c r="BN73" s="94"/>
      <c r="BO73" s="103"/>
      <c r="BP73" s="93"/>
      <c r="BQ73" s="110"/>
      <c r="BR73" s="110"/>
      <c r="BS73" s="110"/>
      <c r="BT73" s="94"/>
      <c r="BU73" s="103"/>
      <c r="BV73" s="93"/>
      <c r="BW73" s="124"/>
      <c r="BX73" s="267"/>
      <c r="BY73" s="83"/>
      <c r="BZ73" s="267"/>
      <c r="CA73" s="83"/>
      <c r="CB73" s="95"/>
      <c r="CC73" s="103"/>
      <c r="CD73" s="93"/>
      <c r="CE73" s="95"/>
      <c r="CF73" s="83"/>
      <c r="CG73" s="83"/>
      <c r="CH73" s="83"/>
      <c r="CI73" s="83"/>
      <c r="CJ73" s="2"/>
    </row>
    <row r="74" spans="2:88" s="104" customFormat="1" ht="17.25" thickTop="1" thickBot="1">
      <c r="B74" s="209"/>
      <c r="C74" s="96" t="s">
        <v>169</v>
      </c>
      <c r="D74" s="210"/>
      <c r="E74" s="86"/>
      <c r="F74" s="97">
        <f>SUM(F60,F72)</f>
        <v>22357</v>
      </c>
      <c r="G74" s="111">
        <f>SUM(G60,G72)</f>
        <v>33</v>
      </c>
      <c r="H74" s="111">
        <f>SUM(H60,H72)</f>
        <v>-28</v>
      </c>
      <c r="I74" s="99">
        <f>SUM(I60,I72)</f>
        <v>22362</v>
      </c>
      <c r="J74" s="103"/>
      <c r="K74" s="97">
        <f>SUM(K60,K72)</f>
        <v>88649127.657105714</v>
      </c>
      <c r="L74" s="111">
        <f>SUM(L60,L72)</f>
        <v>133356.36201000001</v>
      </c>
      <c r="M74" s="111">
        <f>SUM(M60,M72)</f>
        <v>88413.836666667019</v>
      </c>
      <c r="N74" s="99">
        <f>SUM(N60,N72)</f>
        <v>88870897.85578239</v>
      </c>
      <c r="O74" s="103"/>
      <c r="P74" s="97">
        <f>SUM(P60,P72)</f>
        <v>37694196.780000001</v>
      </c>
      <c r="Q74" s="98">
        <f t="shared" ref="Q74:AK74" si="88">SUM(Q60,Q72)</f>
        <v>20761743.750000004</v>
      </c>
      <c r="R74" s="125">
        <f t="shared" si="88"/>
        <v>14319669.65</v>
      </c>
      <c r="S74" s="132">
        <f t="shared" si="88"/>
        <v>72775610.180000007</v>
      </c>
      <c r="T74" s="98">
        <f t="shared" si="88"/>
        <v>755920.00000000047</v>
      </c>
      <c r="U74" s="98">
        <f t="shared" si="88"/>
        <v>2462935.3329359232</v>
      </c>
      <c r="V74" s="98">
        <f t="shared" si="88"/>
        <v>0</v>
      </c>
      <c r="W74" s="98">
        <f t="shared" si="88"/>
        <v>318377.16107654927</v>
      </c>
      <c r="X74" s="98">
        <f t="shared" si="88"/>
        <v>371864.06105155952</v>
      </c>
      <c r="Y74" s="98">
        <f t="shared" si="88"/>
        <v>460096.7299941688</v>
      </c>
      <c r="Z74" s="98">
        <f t="shared" si="88"/>
        <v>116329.57457691911</v>
      </c>
      <c r="AA74" s="98">
        <f t="shared" si="88"/>
        <v>506661.75375167548</v>
      </c>
      <c r="AB74" s="132">
        <f t="shared" si="88"/>
        <v>4992184.6133867959</v>
      </c>
      <c r="AC74" s="132">
        <f t="shared" si="88"/>
        <v>6855671.2694671266</v>
      </c>
      <c r="AD74" s="132">
        <f t="shared" si="88"/>
        <v>586717.73990178294</v>
      </c>
      <c r="AE74" s="132">
        <f t="shared" si="88"/>
        <v>51547.500000000131</v>
      </c>
      <c r="AF74" s="132">
        <f t="shared" si="88"/>
        <v>6490000</v>
      </c>
      <c r="AG74" s="132">
        <f t="shared" si="88"/>
        <v>0</v>
      </c>
      <c r="AH74" s="132">
        <f t="shared" si="88"/>
        <v>1722411.9300000002</v>
      </c>
      <c r="AI74" s="132">
        <f t="shared" si="88"/>
        <v>635191.99927499983</v>
      </c>
      <c r="AJ74" s="132">
        <f t="shared" si="88"/>
        <v>236412</v>
      </c>
      <c r="AK74" s="132">
        <f t="shared" si="88"/>
        <v>0</v>
      </c>
      <c r="AL74" s="99">
        <f>SUM(AL60,AL72)</f>
        <v>94345747.232030705</v>
      </c>
      <c r="AM74" s="103"/>
      <c r="AN74" s="97">
        <f>SUM(AN60,AN72)</f>
        <v>91751731.302755728</v>
      </c>
      <c r="AO74" s="167">
        <f>AN74/SUM('TABLE 4 - October 2016 Dataset'!F74:H74)</f>
        <v>4103.0199133689175</v>
      </c>
      <c r="AP74" s="167">
        <f>IF(AO74&lt;(AP$76*7/12+AP78*5/12),(AP$76*7/12+AP78*5/12)-AO74,0)</f>
        <v>0</v>
      </c>
      <c r="AQ74" s="167">
        <f>SUM(AQ60,AQ72)</f>
        <v>1582003.7836045087</v>
      </c>
      <c r="AR74" s="99">
        <f>SUM(AR60,AR72)</f>
        <v>95927751.015635222</v>
      </c>
      <c r="AS74" s="103"/>
      <c r="AT74" s="97">
        <f>SUM(AT60,AT72)</f>
        <v>80658485.925782368</v>
      </c>
      <c r="AU74" s="167">
        <f>SUM(AU60,AU72)</f>
        <v>87715339.08563523</v>
      </c>
      <c r="AV74" s="167">
        <f>AT74/I74</f>
        <v>3606.9441877194513</v>
      </c>
      <c r="AW74" s="167">
        <f>AU74/SUM('TABLE 4 - October 2016 Dataset'!F74:H74)</f>
        <v>3922.5176230048846</v>
      </c>
      <c r="AX74" s="176">
        <f>(AW74/AV74)-1</f>
        <v>8.7490523518457763E-2</v>
      </c>
      <c r="AY74" s="176">
        <f>IF(AX74&lt;AY$78,AY$78-AX74,0)</f>
        <v>0</v>
      </c>
      <c r="AZ74" s="167">
        <f>IF(AX74&lt;AY$78,(AY$78-AX74)*AV74,0)</f>
        <v>0</v>
      </c>
      <c r="BA74" s="167">
        <f>SUM(BA60,BA72)</f>
        <v>77234.573292396846</v>
      </c>
      <c r="BB74" s="99">
        <f>SUM(BB60,BB72)</f>
        <v>96004985.588927627</v>
      </c>
      <c r="BC74" s="103"/>
      <c r="BD74" s="97">
        <f>SUM(BD60,BD72)</f>
        <v>84124358.422020599</v>
      </c>
      <c r="BE74" s="167">
        <f>BD74/SUM('TABLE 4 - October 2016 Dataset'!F74:H74)</f>
        <v>3761.9335668554063</v>
      </c>
      <c r="BF74" s="176">
        <f t="shared" ref="BF74" si="89">(BE74/AV74)-1</f>
        <v>4.2969719260876449E-2</v>
      </c>
      <c r="BG74" s="176">
        <f t="shared" ref="BG74" si="90">(AW74/BE74)-1</f>
        <v>4.268657415014121E-2</v>
      </c>
      <c r="BH74" s="176">
        <f>'TABLE 1 - 2018-19 Provisional'!BF74</f>
        <v>8.7490523518457763E-2</v>
      </c>
      <c r="BI74" s="176">
        <f>IF(BH74&gt;AY$78,BI$77*BG74,"            NA")</f>
        <v>0</v>
      </c>
      <c r="BJ74" s="176">
        <f>IF(BH74&gt;AY$78,IF(BI74&gt;BJ$78,BI74,IF(BG74&lt;BJ$78,BG74,BJ$78)),AY$78)</f>
        <v>0.03</v>
      </c>
      <c r="BK74" s="176">
        <f>IF(BG74&gt;BJ74,BJ74-BG74,0)</f>
        <v>-1.2686574150141211E-2</v>
      </c>
      <c r="BL74" s="167">
        <f>BK74*BE74</f>
        <v>-47.726049143816319</v>
      </c>
      <c r="BM74" s="167">
        <f>SUM(BM60,BM72)</f>
        <v>-1455278.1448348877</v>
      </c>
      <c r="BN74" s="99">
        <f>SUM(BN60,BN72)</f>
        <v>94549707.444092721</v>
      </c>
      <c r="BO74" s="103"/>
      <c r="BP74" s="97">
        <f>SUM(BP60,BP72)</f>
        <v>91955691.514817744</v>
      </c>
      <c r="BQ74" s="167">
        <f>BP74/SUM('TABLE 4 - October 2016 Dataset'!F74:H74)</f>
        <v>4112.1407528314885</v>
      </c>
      <c r="BR74" s="167">
        <f>IF(BQ74&lt;(BR$76*7/12+BR78*5/12),(BR$76*7/12+BR78*5/12)-BQ74,0)</f>
        <v>0</v>
      </c>
      <c r="BS74" s="167">
        <f>SUM(BS60,BS72)</f>
        <v>835858.1875670373</v>
      </c>
      <c r="BT74" s="99">
        <f>SUM(BT60,BT72)</f>
        <v>95385565.631659776</v>
      </c>
      <c r="BU74" s="103"/>
      <c r="BV74" s="97">
        <f>SUM(BV60,BV72)</f>
        <v>88870897.85578239</v>
      </c>
      <c r="BW74" s="125">
        <f t="shared" ref="BW74" si="91">BV74/I74</f>
        <v>3974.1927312307662</v>
      </c>
      <c r="BX74" s="268">
        <f>SUM(BX60,BX72)</f>
        <v>95385565.631659776</v>
      </c>
      <c r="BY74" s="98">
        <f>BX74/SUM('TABLE 4 - October 2016 Dataset'!F74:H74)</f>
        <v>4265.520330545558</v>
      </c>
      <c r="BZ74" s="268">
        <f>SUM(BZ60,BZ72)</f>
        <v>6514667.7758773891</v>
      </c>
      <c r="CA74" s="98">
        <f t="shared" ref="CA74" si="92">BY74-BW74</f>
        <v>291.32759931479177</v>
      </c>
      <c r="CB74" s="271">
        <f t="shared" ref="CB74" si="93">CA74/BW74</f>
        <v>7.3304849315793161E-2</v>
      </c>
      <c r="CC74" s="103"/>
      <c r="CD74" s="97">
        <f>SUM(CD60,CD72)</f>
        <v>95184000</v>
      </c>
      <c r="CE74" s="100">
        <f>SUM(CE60,CE72)</f>
        <v>196000</v>
      </c>
      <c r="CF74" s="83"/>
      <c r="CG74" s="83"/>
      <c r="CH74" s="83"/>
      <c r="CI74" s="83"/>
      <c r="CJ74" s="2"/>
    </row>
    <row r="75" spans="2:88" ht="16.5" thickTop="1" thickBot="1">
      <c r="F75" s="105"/>
      <c r="G75" s="103"/>
      <c r="H75" s="103"/>
      <c r="I75" s="103"/>
      <c r="J75" s="103"/>
      <c r="K75" s="105"/>
      <c r="L75" s="105"/>
      <c r="M75" s="103"/>
      <c r="N75" s="103"/>
      <c r="O75" s="103"/>
      <c r="P75" s="105"/>
      <c r="Q75" s="105"/>
      <c r="R75" s="105"/>
      <c r="S75" s="103"/>
      <c r="T75" s="105"/>
      <c r="U75" s="105"/>
      <c r="V75" s="105"/>
      <c r="W75" s="105"/>
      <c r="X75" s="105"/>
      <c r="Y75" s="105"/>
      <c r="Z75" s="105"/>
      <c r="AA75" s="105"/>
      <c r="AB75" s="103"/>
      <c r="AC75" s="105"/>
      <c r="AD75" s="105"/>
      <c r="AE75" s="105"/>
      <c r="AF75" s="105"/>
      <c r="AG75" s="105"/>
      <c r="AH75" s="105"/>
      <c r="AI75" s="105"/>
      <c r="AJ75" s="105"/>
      <c r="AK75" s="105"/>
      <c r="AL75" s="103"/>
      <c r="AM75" s="103"/>
      <c r="AN75" s="105"/>
      <c r="AO75" s="105"/>
      <c r="AP75" s="105"/>
      <c r="AQ75" s="103"/>
      <c r="AR75" s="103"/>
      <c r="AS75" s="103"/>
      <c r="AT75" s="105"/>
      <c r="AU75" s="105"/>
      <c r="AV75" s="105"/>
      <c r="AW75" s="105"/>
      <c r="AX75" s="105"/>
      <c r="AY75" s="105"/>
      <c r="AZ75" s="105"/>
      <c r="BA75" s="103"/>
      <c r="BB75" s="103"/>
      <c r="BC75" s="103"/>
      <c r="BD75" s="105"/>
      <c r="BE75" s="105"/>
      <c r="BF75" s="272"/>
      <c r="BG75" s="272"/>
      <c r="BH75" s="105"/>
      <c r="BI75" s="105"/>
      <c r="BJ75" s="105"/>
      <c r="BK75" s="105"/>
      <c r="BL75" s="105"/>
      <c r="BM75" s="103"/>
      <c r="BN75" s="103"/>
      <c r="BO75" s="103"/>
      <c r="BP75" s="105"/>
      <c r="BQ75" s="105"/>
      <c r="BR75" s="105"/>
      <c r="BS75" s="103"/>
      <c r="BT75" s="103"/>
      <c r="BU75" s="103"/>
      <c r="BV75" s="103"/>
      <c r="BW75" s="103"/>
      <c r="BX75" s="103"/>
      <c r="BY75" s="103"/>
      <c r="BZ75" s="103"/>
      <c r="CA75" s="103"/>
      <c r="CB75" s="103"/>
      <c r="CC75" s="103"/>
      <c r="CD75" s="103"/>
      <c r="CE75" s="103"/>
      <c r="CF75" s="103"/>
      <c r="CG75" s="103"/>
      <c r="CH75" s="103"/>
      <c r="CI75" s="103"/>
    </row>
    <row r="76" spans="2:88" s="91" customFormat="1" ht="12.95" customHeight="1" thickTop="1">
      <c r="B76" s="426"/>
      <c r="C76" s="444" t="s">
        <v>278</v>
      </c>
      <c r="D76" s="445"/>
      <c r="E76" s="92"/>
      <c r="F76" s="360"/>
      <c r="G76" s="361"/>
      <c r="H76" s="361"/>
      <c r="I76" s="362"/>
      <c r="J76" s="211"/>
      <c r="K76" s="360"/>
      <c r="L76" s="361"/>
      <c r="M76" s="361"/>
      <c r="N76" s="362"/>
      <c r="O76" s="211"/>
      <c r="P76" s="370">
        <v>2746.99</v>
      </c>
      <c r="Q76" s="374"/>
      <c r="R76" s="374"/>
      <c r="S76" s="378"/>
      <c r="T76" s="382">
        <v>440</v>
      </c>
      <c r="U76" s="382">
        <v>540</v>
      </c>
      <c r="V76" s="382">
        <v>575</v>
      </c>
      <c r="W76" s="382">
        <v>420</v>
      </c>
      <c r="X76" s="382">
        <v>390</v>
      </c>
      <c r="Y76" s="382">
        <v>360</v>
      </c>
      <c r="Z76" s="382">
        <v>240</v>
      </c>
      <c r="AA76" s="352">
        <v>200</v>
      </c>
      <c r="AB76" s="389"/>
      <c r="AC76" s="354">
        <v>1050</v>
      </c>
      <c r="AD76" s="354">
        <v>515</v>
      </c>
      <c r="AE76" s="354">
        <v>711</v>
      </c>
      <c r="AF76" s="385">
        <v>110000</v>
      </c>
      <c r="AG76" s="393" t="s">
        <v>277</v>
      </c>
      <c r="AH76" s="398" t="s">
        <v>217</v>
      </c>
      <c r="AI76" s="297">
        <f>ROUND(156*(2746.99/2383.54),2)</f>
        <v>179.79</v>
      </c>
      <c r="AJ76" s="452">
        <v>198</v>
      </c>
      <c r="AK76" s="454">
        <v>0</v>
      </c>
      <c r="AL76" s="460"/>
      <c r="AM76" s="211"/>
      <c r="AN76" s="416"/>
      <c r="AO76" s="396"/>
      <c r="AP76" s="356">
        <v>3500</v>
      </c>
      <c r="AQ76" s="405"/>
      <c r="AR76" s="421"/>
      <c r="AS76" s="211"/>
      <c r="AT76" s="416"/>
      <c r="AU76" s="423"/>
      <c r="AV76" s="423"/>
      <c r="AW76" s="423"/>
      <c r="AX76" s="423"/>
      <c r="AY76" s="424">
        <v>0.01</v>
      </c>
      <c r="AZ76" s="357"/>
      <c r="BA76" s="358"/>
      <c r="BB76" s="421"/>
      <c r="BC76" s="117"/>
      <c r="BD76" s="466"/>
      <c r="BE76" s="467"/>
      <c r="BF76" s="467"/>
      <c r="BG76" s="467"/>
      <c r="BH76" s="467"/>
      <c r="BI76" s="424">
        <v>0.2</v>
      </c>
      <c r="BJ76" s="424">
        <v>0.03</v>
      </c>
      <c r="BK76" s="450"/>
      <c r="BL76" s="423"/>
      <c r="BM76" s="358"/>
      <c r="BN76" s="421"/>
      <c r="BO76" s="117"/>
      <c r="BP76" s="416"/>
      <c r="BQ76" s="423"/>
      <c r="BR76" s="356">
        <f>AP76</f>
        <v>3500</v>
      </c>
      <c r="BS76" s="405"/>
      <c r="BT76" s="421"/>
      <c r="BU76" s="117"/>
      <c r="BV76" s="429"/>
      <c r="BW76" s="430"/>
      <c r="BX76" s="430"/>
      <c r="BY76" s="430"/>
      <c r="BZ76" s="430"/>
      <c r="CA76" s="430"/>
      <c r="CB76" s="431"/>
      <c r="CC76" s="117"/>
      <c r="CD76" s="438"/>
      <c r="CE76" s="439"/>
      <c r="CF76" s="117"/>
      <c r="CG76" s="117"/>
      <c r="CH76" s="117"/>
      <c r="CI76" s="117"/>
    </row>
    <row r="77" spans="2:88" ht="6.6" customHeight="1">
      <c r="B77" s="427"/>
      <c r="C77" s="446"/>
      <c r="D77" s="447"/>
      <c r="E77" s="92"/>
      <c r="F77" s="363"/>
      <c r="G77" s="364"/>
      <c r="H77" s="364"/>
      <c r="I77" s="365"/>
      <c r="J77" s="211"/>
      <c r="K77" s="363"/>
      <c r="L77" s="364"/>
      <c r="M77" s="364"/>
      <c r="N77" s="365"/>
      <c r="O77" s="211"/>
      <c r="P77" s="371"/>
      <c r="Q77" s="375"/>
      <c r="R77" s="375"/>
      <c r="S77" s="379"/>
      <c r="T77" s="375"/>
      <c r="U77" s="375"/>
      <c r="V77" s="375"/>
      <c r="W77" s="375"/>
      <c r="X77" s="375"/>
      <c r="Y77" s="375"/>
      <c r="Z77" s="375"/>
      <c r="AA77" s="353"/>
      <c r="AB77" s="390"/>
      <c r="AC77" s="355"/>
      <c r="AD77" s="355"/>
      <c r="AE77" s="355"/>
      <c r="AF77" s="355"/>
      <c r="AG77" s="394"/>
      <c r="AH77" s="399"/>
      <c r="AI77" s="402">
        <f>ROUND(19862*(110000/150000),0)</f>
        <v>14565</v>
      </c>
      <c r="AJ77" s="453"/>
      <c r="AK77" s="455"/>
      <c r="AL77" s="461"/>
      <c r="AM77" s="211"/>
      <c r="AN77" s="417"/>
      <c r="AO77" s="353"/>
      <c r="AP77" s="353"/>
      <c r="AQ77" s="359"/>
      <c r="AR77" s="413"/>
      <c r="AS77" s="211"/>
      <c r="AT77" s="417"/>
      <c r="AU77" s="353"/>
      <c r="AV77" s="353"/>
      <c r="AW77" s="353"/>
      <c r="AX77" s="353"/>
      <c r="AY77" s="353"/>
      <c r="AZ77" s="353"/>
      <c r="BA77" s="359"/>
      <c r="BB77" s="413"/>
      <c r="BD77" s="468"/>
      <c r="BE77" s="469"/>
      <c r="BF77" s="469"/>
      <c r="BG77" s="469"/>
      <c r="BH77" s="469"/>
      <c r="BI77" s="353"/>
      <c r="BJ77" s="353"/>
      <c r="BK77" s="353"/>
      <c r="BL77" s="353"/>
      <c r="BM77" s="359"/>
      <c r="BN77" s="413"/>
      <c r="BP77" s="417"/>
      <c r="BQ77" s="353"/>
      <c r="BR77" s="353"/>
      <c r="BS77" s="359"/>
      <c r="BT77" s="413"/>
      <c r="BU77" s="117"/>
      <c r="BV77" s="432"/>
      <c r="BW77" s="433"/>
      <c r="BX77" s="433"/>
      <c r="BY77" s="433"/>
      <c r="BZ77" s="433"/>
      <c r="CA77" s="433"/>
      <c r="CB77" s="434"/>
      <c r="CC77" s="117"/>
      <c r="CD77" s="440"/>
      <c r="CE77" s="441"/>
    </row>
    <row r="78" spans="2:88" ht="6.6" customHeight="1">
      <c r="B78" s="427"/>
      <c r="C78" s="446" t="s">
        <v>279</v>
      </c>
      <c r="D78" s="447"/>
      <c r="E78" s="92"/>
      <c r="F78" s="366"/>
      <c r="G78" s="364"/>
      <c r="H78" s="364"/>
      <c r="I78" s="365"/>
      <c r="J78" s="211"/>
      <c r="K78" s="366"/>
      <c r="L78" s="364"/>
      <c r="M78" s="364"/>
      <c r="N78" s="365"/>
      <c r="O78" s="211"/>
      <c r="P78" s="462"/>
      <c r="Q78" s="376">
        <v>3862.65</v>
      </c>
      <c r="R78" s="376">
        <v>4385.8100000000004</v>
      </c>
      <c r="S78" s="380"/>
      <c r="T78" s="376">
        <v>440</v>
      </c>
      <c r="U78" s="376">
        <v>785</v>
      </c>
      <c r="V78" s="376">
        <v>810</v>
      </c>
      <c r="W78" s="376">
        <v>600</v>
      </c>
      <c r="X78" s="376">
        <v>560</v>
      </c>
      <c r="Y78" s="376">
        <v>515</v>
      </c>
      <c r="Z78" s="376">
        <v>390</v>
      </c>
      <c r="AA78" s="387">
        <v>290</v>
      </c>
      <c r="AB78" s="391"/>
      <c r="AC78" s="383">
        <v>1550</v>
      </c>
      <c r="AD78" s="383">
        <v>1385</v>
      </c>
      <c r="AE78" s="383">
        <v>711</v>
      </c>
      <c r="AF78" s="386">
        <v>110000</v>
      </c>
      <c r="AG78" s="394"/>
      <c r="AH78" s="400" t="s">
        <v>217</v>
      </c>
      <c r="AI78" s="403"/>
      <c r="AJ78" s="456">
        <v>198</v>
      </c>
      <c r="AK78" s="458">
        <v>0</v>
      </c>
      <c r="AL78" s="464"/>
      <c r="AM78" s="211"/>
      <c r="AN78" s="418"/>
      <c r="AO78" s="397"/>
      <c r="AP78" s="404">
        <v>4800</v>
      </c>
      <c r="AQ78" s="406"/>
      <c r="AR78" s="422"/>
      <c r="AS78" s="211"/>
      <c r="AT78" s="418"/>
      <c r="AU78" s="353"/>
      <c r="AV78" s="353"/>
      <c r="AW78" s="353"/>
      <c r="AX78" s="353"/>
      <c r="AY78" s="425">
        <v>0.01</v>
      </c>
      <c r="AZ78" s="420"/>
      <c r="BA78" s="359"/>
      <c r="BB78" s="422"/>
      <c r="BD78" s="468"/>
      <c r="BE78" s="469"/>
      <c r="BF78" s="469"/>
      <c r="BG78" s="469"/>
      <c r="BH78" s="469"/>
      <c r="BI78" s="425">
        <v>0.2</v>
      </c>
      <c r="BJ78" s="425">
        <v>0.03</v>
      </c>
      <c r="BK78" s="451"/>
      <c r="BL78" s="353"/>
      <c r="BM78" s="359"/>
      <c r="BN78" s="422"/>
      <c r="BP78" s="418"/>
      <c r="BQ78" s="353"/>
      <c r="BR78" s="404">
        <f>AP78</f>
        <v>4800</v>
      </c>
      <c r="BS78" s="406"/>
      <c r="BT78" s="422"/>
      <c r="BU78" s="117"/>
      <c r="BV78" s="432"/>
      <c r="BW78" s="433"/>
      <c r="BX78" s="433"/>
      <c r="BY78" s="433"/>
      <c r="BZ78" s="433"/>
      <c r="CA78" s="433"/>
      <c r="CB78" s="434"/>
      <c r="CC78" s="117"/>
      <c r="CD78" s="440"/>
      <c r="CE78" s="441"/>
    </row>
    <row r="79" spans="2:88" ht="12.95" customHeight="1" thickBot="1">
      <c r="B79" s="428"/>
      <c r="C79" s="448"/>
      <c r="D79" s="449"/>
      <c r="F79" s="367"/>
      <c r="G79" s="368"/>
      <c r="H79" s="368"/>
      <c r="I79" s="369"/>
      <c r="J79" s="212"/>
      <c r="K79" s="367"/>
      <c r="L79" s="368"/>
      <c r="M79" s="368"/>
      <c r="N79" s="369"/>
      <c r="O79" s="212"/>
      <c r="P79" s="463"/>
      <c r="Q79" s="377"/>
      <c r="R79" s="377"/>
      <c r="S79" s="381"/>
      <c r="T79" s="377"/>
      <c r="U79" s="377"/>
      <c r="V79" s="377"/>
      <c r="W79" s="377"/>
      <c r="X79" s="377"/>
      <c r="Y79" s="377"/>
      <c r="Z79" s="377"/>
      <c r="AA79" s="388"/>
      <c r="AB79" s="392"/>
      <c r="AC79" s="384"/>
      <c r="AD79" s="384"/>
      <c r="AE79" s="384"/>
      <c r="AF79" s="384"/>
      <c r="AG79" s="395"/>
      <c r="AH79" s="401"/>
      <c r="AI79" s="298">
        <v>3.5000000000000003E-2</v>
      </c>
      <c r="AJ79" s="457"/>
      <c r="AK79" s="459"/>
      <c r="AL79" s="465"/>
      <c r="AM79" s="212"/>
      <c r="AN79" s="419"/>
      <c r="AO79" s="388"/>
      <c r="AP79" s="388"/>
      <c r="AQ79" s="407"/>
      <c r="AR79" s="415"/>
      <c r="AS79" s="212"/>
      <c r="AT79" s="419"/>
      <c r="AU79" s="388"/>
      <c r="AV79" s="388"/>
      <c r="AW79" s="388"/>
      <c r="AX79" s="388"/>
      <c r="AY79" s="388"/>
      <c r="AZ79" s="388"/>
      <c r="BA79" s="407"/>
      <c r="BB79" s="415"/>
      <c r="BD79" s="470"/>
      <c r="BE79" s="471"/>
      <c r="BF79" s="471"/>
      <c r="BG79" s="471"/>
      <c r="BH79" s="471"/>
      <c r="BI79" s="388"/>
      <c r="BJ79" s="388"/>
      <c r="BK79" s="388"/>
      <c r="BL79" s="388"/>
      <c r="BM79" s="407"/>
      <c r="BN79" s="415"/>
      <c r="BP79" s="419"/>
      <c r="BQ79" s="388"/>
      <c r="BR79" s="388"/>
      <c r="BS79" s="407"/>
      <c r="BT79" s="415"/>
      <c r="BV79" s="435"/>
      <c r="BW79" s="436"/>
      <c r="BX79" s="436"/>
      <c r="BY79" s="436"/>
      <c r="BZ79" s="436"/>
      <c r="CA79" s="436"/>
      <c r="CB79" s="437"/>
      <c r="CD79" s="442"/>
      <c r="CE79" s="443"/>
    </row>
    <row r="80" spans="2:88" ht="17.25" thickTop="1" thickBot="1">
      <c r="F80" s="59"/>
      <c r="I80" s="117"/>
      <c r="P80" s="318" t="s">
        <v>356</v>
      </c>
      <c r="Q80" s="319" t="s">
        <v>357</v>
      </c>
      <c r="R80" s="319" t="s">
        <v>358</v>
      </c>
      <c r="S80" s="322"/>
      <c r="T80" s="319" t="s">
        <v>359</v>
      </c>
      <c r="U80" s="319" t="s">
        <v>360</v>
      </c>
      <c r="V80" s="319" t="s">
        <v>361</v>
      </c>
      <c r="W80" s="319" t="s">
        <v>362</v>
      </c>
      <c r="X80" s="319" t="s">
        <v>363</v>
      </c>
      <c r="Y80" s="319" t="s">
        <v>364</v>
      </c>
      <c r="Z80" s="319" t="s">
        <v>365</v>
      </c>
      <c r="AA80" s="319" t="s">
        <v>366</v>
      </c>
      <c r="AB80" s="322"/>
      <c r="AC80" s="320" t="s">
        <v>367</v>
      </c>
      <c r="AD80" s="320" t="s">
        <v>368</v>
      </c>
      <c r="AE80" s="320" t="s">
        <v>369</v>
      </c>
      <c r="AF80" s="320" t="s">
        <v>370</v>
      </c>
      <c r="AG80" s="320" t="s">
        <v>371</v>
      </c>
      <c r="AH80" s="320" t="s">
        <v>372</v>
      </c>
      <c r="AI80" s="321" t="s">
        <v>380</v>
      </c>
      <c r="AJ80" s="320" t="s">
        <v>373</v>
      </c>
      <c r="AK80" s="320" t="s">
        <v>374</v>
      </c>
      <c r="AL80" s="323"/>
      <c r="AP80" s="324" t="s">
        <v>375</v>
      </c>
      <c r="AY80" s="324" t="s">
        <v>376</v>
      </c>
      <c r="BI80" s="318" t="s">
        <v>377</v>
      </c>
      <c r="BJ80" s="325" t="s">
        <v>378</v>
      </c>
      <c r="BR80" s="324" t="s">
        <v>379</v>
      </c>
    </row>
    <row r="81" spans="6:80" ht="16.5" thickTop="1">
      <c r="F81" s="59"/>
      <c r="I81" s="117"/>
      <c r="BU81" s="101"/>
      <c r="BV81" s="101"/>
      <c r="BW81" s="101"/>
      <c r="BX81" s="101"/>
      <c r="BY81" s="101"/>
      <c r="BZ81" s="101"/>
      <c r="CA81" s="101"/>
      <c r="CB81" s="101"/>
    </row>
    <row r="82" spans="6:80" ht="15.75">
      <c r="F82" s="59"/>
      <c r="H82" s="101"/>
      <c r="I82" s="117"/>
      <c r="J82" s="101"/>
      <c r="AM82" s="101"/>
      <c r="BO82" s="101"/>
    </row>
    <row r="83" spans="6:80" ht="15.75">
      <c r="I83" s="117"/>
    </row>
    <row r="104" spans="7:7">
      <c r="G104" s="101"/>
    </row>
  </sheetData>
  <sheetProtection password="CDFC" sheet="1" objects="1" scenarios="1"/>
  <mergeCells count="124">
    <mergeCell ref="BV2:CB2"/>
    <mergeCell ref="BV3:BW3"/>
    <mergeCell ref="BX3:BY3"/>
    <mergeCell ref="BZ3:CB3"/>
    <mergeCell ref="BV4:BW4"/>
    <mergeCell ref="BX4:BY4"/>
    <mergeCell ref="BZ4:CB4"/>
    <mergeCell ref="BV5:BW5"/>
    <mergeCell ref="BX5:BY5"/>
    <mergeCell ref="BZ5:CB5"/>
    <mergeCell ref="BV76:CB77"/>
    <mergeCell ref="CD76:CE77"/>
    <mergeCell ref="BV78:CB79"/>
    <mergeCell ref="CD78:CE79"/>
    <mergeCell ref="BP76:BQ77"/>
    <mergeCell ref="BR76:BR77"/>
    <mergeCell ref="BS76:BS77"/>
    <mergeCell ref="BT76:BT77"/>
    <mergeCell ref="BP78:BQ79"/>
    <mergeCell ref="BR78:BR79"/>
    <mergeCell ref="BS78:BS79"/>
    <mergeCell ref="BT78:BT79"/>
    <mergeCell ref="BI78:BI79"/>
    <mergeCell ref="BJ78:BJ79"/>
    <mergeCell ref="BK78:BM79"/>
    <mergeCell ref="BN78:BN79"/>
    <mergeCell ref="BD76:BH77"/>
    <mergeCell ref="BD78:BH79"/>
    <mergeCell ref="BI76:BI77"/>
    <mergeCell ref="BJ76:BJ77"/>
    <mergeCell ref="BK76:BM77"/>
    <mergeCell ref="BN76:BN77"/>
    <mergeCell ref="AR78:AR79"/>
    <mergeCell ref="AT78:AX79"/>
    <mergeCell ref="AY78:AY79"/>
    <mergeCell ref="AZ78:BA79"/>
    <mergeCell ref="BB78:BB79"/>
    <mergeCell ref="AL78:AL79"/>
    <mergeCell ref="AN78:AN79"/>
    <mergeCell ref="AO78:AO79"/>
    <mergeCell ref="AP78:AP79"/>
    <mergeCell ref="AQ78:AQ79"/>
    <mergeCell ref="AA78:AA79"/>
    <mergeCell ref="AB78:AB79"/>
    <mergeCell ref="AC78:AC79"/>
    <mergeCell ref="AD78:AD79"/>
    <mergeCell ref="AE78:AE79"/>
    <mergeCell ref="V78:V79"/>
    <mergeCell ref="W78:W79"/>
    <mergeCell ref="X78:X79"/>
    <mergeCell ref="Y78:Y79"/>
    <mergeCell ref="Z78:Z79"/>
    <mergeCell ref="Q78:Q79"/>
    <mergeCell ref="R78:R79"/>
    <mergeCell ref="S78:S79"/>
    <mergeCell ref="T78:T79"/>
    <mergeCell ref="U78:U79"/>
    <mergeCell ref="B78:B79"/>
    <mergeCell ref="C78:D79"/>
    <mergeCell ref="F78:I79"/>
    <mergeCell ref="K78:N79"/>
    <mergeCell ref="P78:P79"/>
    <mergeCell ref="AR76:AR77"/>
    <mergeCell ref="AT76:AX77"/>
    <mergeCell ref="AY76:AY77"/>
    <mergeCell ref="AZ76:BA77"/>
    <mergeCell ref="BB76:BB77"/>
    <mergeCell ref="AL76:AL77"/>
    <mergeCell ref="AN76:AN77"/>
    <mergeCell ref="AO76:AO77"/>
    <mergeCell ref="AP76:AP77"/>
    <mergeCell ref="AQ76:AQ77"/>
    <mergeCell ref="B76:B77"/>
    <mergeCell ref="C76:D77"/>
    <mergeCell ref="F76:I77"/>
    <mergeCell ref="K76:N77"/>
    <mergeCell ref="P76:P77"/>
    <mergeCell ref="AA76:AA77"/>
    <mergeCell ref="AB76:AB77"/>
    <mergeCell ref="AC76:AC77"/>
    <mergeCell ref="AD76:AD77"/>
    <mergeCell ref="V76:V77"/>
    <mergeCell ref="W76:W77"/>
    <mergeCell ref="X76:X77"/>
    <mergeCell ref="Y76:Y77"/>
    <mergeCell ref="Z76:Z77"/>
    <mergeCell ref="CD2:CE2"/>
    <mergeCell ref="P3:S3"/>
    <mergeCell ref="T3:AB3"/>
    <mergeCell ref="AP3:AQ3"/>
    <mergeCell ref="AY3:BA3"/>
    <mergeCell ref="BK3:BM3"/>
    <mergeCell ref="BR3:BS3"/>
    <mergeCell ref="BD2:BN2"/>
    <mergeCell ref="Q76:Q77"/>
    <mergeCell ref="R76:R77"/>
    <mergeCell ref="S76:S77"/>
    <mergeCell ref="T76:T77"/>
    <mergeCell ref="U76:U77"/>
    <mergeCell ref="AE76:AE77"/>
    <mergeCell ref="AF76:AF77"/>
    <mergeCell ref="AG76:AG79"/>
    <mergeCell ref="AH76:AH77"/>
    <mergeCell ref="AJ76:AJ77"/>
    <mergeCell ref="AK76:AK77"/>
    <mergeCell ref="AI77:AI78"/>
    <mergeCell ref="AF78:AF79"/>
    <mergeCell ref="AH78:AH79"/>
    <mergeCell ref="AJ78:AJ79"/>
    <mergeCell ref="AK78:AK79"/>
    <mergeCell ref="AP4:AQ4"/>
    <mergeCell ref="AY4:BA4"/>
    <mergeCell ref="BK4:BM4"/>
    <mergeCell ref="BR4:BS4"/>
    <mergeCell ref="AP5:AQ5"/>
    <mergeCell ref="AY5:BA5"/>
    <mergeCell ref="BK5:BM5"/>
    <mergeCell ref="BR5:BS5"/>
    <mergeCell ref="F2:I2"/>
    <mergeCell ref="K2:N2"/>
    <mergeCell ref="P2:AL2"/>
    <mergeCell ref="AN2:AR2"/>
    <mergeCell ref="AT2:BB2"/>
    <mergeCell ref="BP2:BT2"/>
  </mergeCells>
  <printOptions gridLines="1"/>
  <pageMargins left="0" right="0" top="0.39370078740157483" bottom="0.39370078740157483" header="0.11811023622047245" footer="0.11811023622047245"/>
  <pageSetup paperSize="8" scale="57" fitToWidth="3" orientation="landscape" r:id="rId1"/>
  <headerFooter>
    <oddHeader>&amp;C&amp;"Arial,Bold"&amp;12TABLE 2 - 2019/20 ILLUSTRATIVE FUNDING ALLOCATIONS</oddHeader>
    <oddFooter>&amp;L&amp;"Arial,Regular"&amp;10&amp;Z&amp;F \ &amp;A&amp;C&amp;"-,Bold"&amp;12&amp;P of &amp;N&amp;R&amp;"Arial,Regular"&amp;10&amp;D / &amp;T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O104"/>
  <sheetViews>
    <sheetView zoomScale="75" zoomScaleNormal="75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B2" sqref="B2"/>
    </sheetView>
  </sheetViews>
  <sheetFormatPr defaultRowHeight="15"/>
  <cols>
    <col min="1" max="1" width="0.85546875" style="1" customWidth="1"/>
    <col min="2" max="2" width="6.85546875" style="59" bestFit="1" customWidth="1"/>
    <col min="3" max="3" width="34.28515625" style="59" bestFit="1" customWidth="1"/>
    <col min="4" max="4" width="13.85546875" style="59" bestFit="1" customWidth="1"/>
    <col min="5" max="5" width="1.140625" style="60" customWidth="1"/>
    <col min="6" max="6" width="9.85546875" style="101" bestFit="1" customWidth="1"/>
    <col min="7" max="7" width="8.7109375" style="102" bestFit="1" customWidth="1"/>
    <col min="8" max="8" width="7.5703125" style="102" bestFit="1" customWidth="1"/>
    <col min="9" max="9" width="11" style="102" bestFit="1" customWidth="1"/>
    <col min="10" max="10" width="1.140625" style="102" customWidth="1"/>
    <col min="11" max="11" width="13.85546875" style="101" bestFit="1" customWidth="1"/>
    <col min="12" max="12" width="12" style="101" bestFit="1" customWidth="1"/>
    <col min="13" max="13" width="10.5703125" style="102" bestFit="1" customWidth="1"/>
    <col min="14" max="14" width="13.85546875" style="102" bestFit="1" customWidth="1"/>
    <col min="15" max="15" width="1.140625" style="102" customWidth="1"/>
    <col min="16" max="16" width="13.85546875" style="101" bestFit="1" customWidth="1"/>
    <col min="17" max="18" width="13.85546875" style="101" customWidth="1"/>
    <col min="19" max="19" width="13.85546875" style="102" bestFit="1" customWidth="1"/>
    <col min="20" max="20" width="10.5703125" style="101" bestFit="1" customWidth="1"/>
    <col min="21" max="21" width="12.5703125" style="101" bestFit="1" customWidth="1"/>
    <col min="22" max="22" width="9.28515625" style="101" bestFit="1" customWidth="1"/>
    <col min="23" max="27" width="10.5703125" style="101" bestFit="1" customWidth="1"/>
    <col min="28" max="28" width="13" style="102" bestFit="1" customWidth="1"/>
    <col min="29" max="29" width="13.140625" style="101" bestFit="1" customWidth="1"/>
    <col min="30" max="30" width="16" style="101" bestFit="1" customWidth="1"/>
    <col min="31" max="31" width="9.7109375" style="101" bestFit="1" customWidth="1"/>
    <col min="32" max="32" width="12.5703125" style="101" bestFit="1" customWidth="1"/>
    <col min="33" max="33" width="13.28515625" style="101" bestFit="1" customWidth="1"/>
    <col min="34" max="34" width="12.5703125" style="101" bestFit="1" customWidth="1"/>
    <col min="35" max="35" width="10.5703125" style="101" bestFit="1" customWidth="1"/>
    <col min="36" max="36" width="11" style="101" bestFit="1" customWidth="1"/>
    <col min="37" max="37" width="13.85546875" style="101" bestFit="1" customWidth="1"/>
    <col min="38" max="38" width="13.85546875" style="102" bestFit="1" customWidth="1"/>
    <col min="39" max="39" width="1.140625" style="102" customWidth="1"/>
    <col min="40" max="40" width="13.85546875" style="101" bestFit="1" customWidth="1"/>
    <col min="41" max="42" width="10.42578125" style="101" bestFit="1" customWidth="1"/>
    <col min="43" max="43" width="12.5703125" style="102" bestFit="1" customWidth="1"/>
    <col min="44" max="44" width="13.85546875" style="102" bestFit="1" customWidth="1"/>
    <col min="45" max="45" width="1.140625" style="102" customWidth="1"/>
    <col min="46" max="47" width="13.85546875" style="101" bestFit="1" customWidth="1"/>
    <col min="48" max="50" width="11.140625" style="101" bestFit="1" customWidth="1"/>
    <col min="51" max="51" width="10" style="101" bestFit="1" customWidth="1"/>
    <col min="52" max="52" width="8.7109375" style="101" bestFit="1" customWidth="1"/>
    <col min="53" max="53" width="9.28515625" style="102" bestFit="1" customWidth="1"/>
    <col min="54" max="54" width="13.85546875" style="102" bestFit="1" customWidth="1"/>
    <col min="55" max="55" width="1.140625" style="102" customWidth="1"/>
    <col min="56" max="56" width="13.85546875" style="102" bestFit="1" customWidth="1"/>
    <col min="57" max="57" width="8.7109375" style="102" bestFit="1" customWidth="1"/>
    <col min="58" max="58" width="13.85546875" style="102" bestFit="1" customWidth="1"/>
    <col min="59" max="59" width="9.28515625" style="102" bestFit="1" customWidth="1"/>
    <col min="60" max="60" width="12.5703125" style="102" bestFit="1" customWidth="1"/>
    <col min="61" max="61" width="8.7109375" style="102" bestFit="1" customWidth="1"/>
    <col min="62" max="62" width="8" style="102" bestFit="1" customWidth="1"/>
    <col min="63" max="63" width="1.140625" style="102" customWidth="1"/>
    <col min="64" max="64" width="13.85546875" style="1" bestFit="1" customWidth="1"/>
    <col min="65" max="65" width="11.42578125" style="1" bestFit="1" customWidth="1"/>
    <col min="66" max="16384" width="9.140625" style="1"/>
  </cols>
  <sheetData>
    <row r="1" spans="2:67" ht="5.0999999999999996" customHeight="1" thickBot="1"/>
    <row r="2" spans="2:67" ht="16.5" thickTop="1">
      <c r="B2" s="62"/>
      <c r="C2" s="63"/>
      <c r="D2" s="197"/>
      <c r="F2" s="329" t="s">
        <v>180</v>
      </c>
      <c r="G2" s="330"/>
      <c r="H2" s="330"/>
      <c r="I2" s="331"/>
      <c r="K2" s="329" t="s">
        <v>174</v>
      </c>
      <c r="L2" s="330"/>
      <c r="M2" s="330"/>
      <c r="N2" s="331"/>
      <c r="P2" s="332" t="s">
        <v>251</v>
      </c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0"/>
      <c r="AD2" s="330"/>
      <c r="AE2" s="330"/>
      <c r="AF2" s="330"/>
      <c r="AG2" s="330"/>
      <c r="AH2" s="330"/>
      <c r="AI2" s="330"/>
      <c r="AJ2" s="330"/>
      <c r="AK2" s="330"/>
      <c r="AL2" s="331"/>
      <c r="AN2" s="329" t="s">
        <v>227</v>
      </c>
      <c r="AO2" s="330"/>
      <c r="AP2" s="330"/>
      <c r="AQ2" s="330"/>
      <c r="AR2" s="331"/>
      <c r="AT2" s="329" t="s">
        <v>252</v>
      </c>
      <c r="AU2" s="330"/>
      <c r="AV2" s="330"/>
      <c r="AW2" s="330"/>
      <c r="AX2" s="330"/>
      <c r="AY2" s="330"/>
      <c r="AZ2" s="330"/>
      <c r="BA2" s="330"/>
      <c r="BB2" s="331"/>
      <c r="BD2" s="344" t="s">
        <v>282</v>
      </c>
      <c r="BE2" s="333"/>
      <c r="BF2" s="333"/>
      <c r="BG2" s="333"/>
      <c r="BH2" s="333"/>
      <c r="BI2" s="333"/>
      <c r="BJ2" s="345"/>
      <c r="BL2" s="344" t="s">
        <v>253</v>
      </c>
      <c r="BM2" s="345"/>
    </row>
    <row r="3" spans="2:67" ht="15.75">
      <c r="B3" s="198"/>
      <c r="C3" s="60"/>
      <c r="D3" s="70" t="s">
        <v>16</v>
      </c>
      <c r="F3" s="64" t="s">
        <v>175</v>
      </c>
      <c r="G3" s="65" t="s">
        <v>176</v>
      </c>
      <c r="H3" s="114" t="s">
        <v>178</v>
      </c>
      <c r="I3" s="116" t="s">
        <v>141</v>
      </c>
      <c r="K3" s="106" t="s">
        <v>141</v>
      </c>
      <c r="L3" s="65" t="s">
        <v>176</v>
      </c>
      <c r="M3" s="65" t="s">
        <v>181</v>
      </c>
      <c r="N3" s="116" t="s">
        <v>141</v>
      </c>
      <c r="P3" s="337" t="s">
        <v>183</v>
      </c>
      <c r="Q3" s="335"/>
      <c r="R3" s="335"/>
      <c r="S3" s="336"/>
      <c r="T3" s="334" t="s">
        <v>189</v>
      </c>
      <c r="U3" s="335"/>
      <c r="V3" s="335"/>
      <c r="W3" s="335"/>
      <c r="X3" s="335"/>
      <c r="Y3" s="335"/>
      <c r="Z3" s="335"/>
      <c r="AA3" s="335"/>
      <c r="AB3" s="336"/>
      <c r="AC3" s="136" t="s">
        <v>200</v>
      </c>
      <c r="AD3" s="136" t="s">
        <v>203</v>
      </c>
      <c r="AE3" s="136" t="s">
        <v>176</v>
      </c>
      <c r="AF3" s="136"/>
      <c r="AG3" s="136" t="s">
        <v>272</v>
      </c>
      <c r="AH3" s="136"/>
      <c r="AI3" s="136" t="s">
        <v>212</v>
      </c>
      <c r="AJ3" s="136"/>
      <c r="AK3" s="136" t="s">
        <v>218</v>
      </c>
      <c r="AL3" s="71" t="s">
        <v>273</v>
      </c>
      <c r="AN3" s="106" t="s">
        <v>228</v>
      </c>
      <c r="AO3" s="65" t="s">
        <v>230</v>
      </c>
      <c r="AP3" s="341" t="s">
        <v>231</v>
      </c>
      <c r="AQ3" s="346"/>
      <c r="AR3" s="71" t="s">
        <v>233</v>
      </c>
      <c r="AT3" s="106" t="s">
        <v>141</v>
      </c>
      <c r="AU3" s="317" t="s">
        <v>145</v>
      </c>
      <c r="AV3" s="65" t="s">
        <v>141</v>
      </c>
      <c r="AW3" s="317" t="s">
        <v>145</v>
      </c>
      <c r="AX3" s="172" t="s">
        <v>160</v>
      </c>
      <c r="AY3" s="341" t="s">
        <v>244</v>
      </c>
      <c r="AZ3" s="341"/>
      <c r="BA3" s="346"/>
      <c r="BB3" s="71" t="s">
        <v>4</v>
      </c>
      <c r="BD3" s="348" t="s">
        <v>141</v>
      </c>
      <c r="BE3" s="349"/>
      <c r="BF3" s="472" t="s">
        <v>4</v>
      </c>
      <c r="BG3" s="351"/>
      <c r="BH3" s="472" t="s">
        <v>4</v>
      </c>
      <c r="BI3" s="341"/>
      <c r="BJ3" s="342"/>
      <c r="BL3" s="182" t="s">
        <v>162</v>
      </c>
      <c r="BM3" s="180"/>
    </row>
    <row r="4" spans="2:67" ht="15.75">
      <c r="B4" s="199" t="s">
        <v>162</v>
      </c>
      <c r="C4" s="61"/>
      <c r="D4" s="70" t="s">
        <v>14</v>
      </c>
      <c r="F4" s="72" t="s">
        <v>141</v>
      </c>
      <c r="G4" s="68" t="s">
        <v>177</v>
      </c>
      <c r="H4" s="115" t="s">
        <v>179</v>
      </c>
      <c r="I4" s="71" t="s">
        <v>163</v>
      </c>
      <c r="K4" s="67" t="s">
        <v>271</v>
      </c>
      <c r="L4" s="68" t="s">
        <v>177</v>
      </c>
      <c r="M4" s="74" t="s">
        <v>182</v>
      </c>
      <c r="N4" s="71" t="s">
        <v>163</v>
      </c>
      <c r="P4" s="64" t="s">
        <v>153</v>
      </c>
      <c r="Q4" s="66" t="s">
        <v>185</v>
      </c>
      <c r="R4" s="118" t="s">
        <v>186</v>
      </c>
      <c r="S4" s="127"/>
      <c r="T4" s="126" t="s">
        <v>190</v>
      </c>
      <c r="U4" s="66" t="s">
        <v>190</v>
      </c>
      <c r="V4" s="66" t="s">
        <v>193</v>
      </c>
      <c r="W4" s="113" t="s">
        <v>193</v>
      </c>
      <c r="X4" s="113" t="s">
        <v>193</v>
      </c>
      <c r="Y4" s="113" t="s">
        <v>193</v>
      </c>
      <c r="Z4" s="65" t="s">
        <v>193</v>
      </c>
      <c r="AA4" s="65" t="s">
        <v>193</v>
      </c>
      <c r="AB4" s="127"/>
      <c r="AC4" s="137" t="s">
        <v>201</v>
      </c>
      <c r="AD4" s="137" t="s">
        <v>204</v>
      </c>
      <c r="AE4" s="137" t="s">
        <v>5</v>
      </c>
      <c r="AF4" s="137" t="s">
        <v>207</v>
      </c>
      <c r="AG4" s="137" t="s">
        <v>223</v>
      </c>
      <c r="AH4" s="137" t="s">
        <v>210</v>
      </c>
      <c r="AI4" s="137" t="s">
        <v>213</v>
      </c>
      <c r="AJ4" s="137" t="s">
        <v>215</v>
      </c>
      <c r="AK4" s="137" t="s">
        <v>219</v>
      </c>
      <c r="AL4" s="71" t="s">
        <v>221</v>
      </c>
      <c r="AN4" s="67" t="s">
        <v>229</v>
      </c>
      <c r="AO4" s="68" t="s">
        <v>5</v>
      </c>
      <c r="AP4" s="339" t="s">
        <v>78</v>
      </c>
      <c r="AQ4" s="347"/>
      <c r="AR4" s="71" t="s">
        <v>221</v>
      </c>
      <c r="AT4" s="67" t="s">
        <v>234</v>
      </c>
      <c r="AU4" s="68" t="s">
        <v>234</v>
      </c>
      <c r="AV4" s="68" t="s">
        <v>234</v>
      </c>
      <c r="AW4" s="68" t="s">
        <v>234</v>
      </c>
      <c r="AX4" s="68" t="s">
        <v>236</v>
      </c>
      <c r="AY4" s="339" t="s">
        <v>245</v>
      </c>
      <c r="AZ4" s="339"/>
      <c r="BA4" s="347"/>
      <c r="BB4" s="71" t="s">
        <v>381</v>
      </c>
      <c r="BD4" s="350" t="s">
        <v>259</v>
      </c>
      <c r="BE4" s="347"/>
      <c r="BF4" s="338" t="s">
        <v>283</v>
      </c>
      <c r="BG4" s="339"/>
      <c r="BH4" s="338" t="s">
        <v>283</v>
      </c>
      <c r="BI4" s="339"/>
      <c r="BJ4" s="343"/>
      <c r="BL4" s="182" t="s">
        <v>254</v>
      </c>
      <c r="BM4" s="180" t="s">
        <v>256</v>
      </c>
    </row>
    <row r="5" spans="2:67" ht="15.75">
      <c r="B5" s="199" t="s">
        <v>164</v>
      </c>
      <c r="C5" s="61" t="s">
        <v>165</v>
      </c>
      <c r="D5" s="70" t="s">
        <v>17</v>
      </c>
      <c r="E5" s="61"/>
      <c r="F5" s="67" t="s">
        <v>271</v>
      </c>
      <c r="G5" s="68" t="s">
        <v>172</v>
      </c>
      <c r="H5" s="68" t="s">
        <v>173</v>
      </c>
      <c r="I5" s="71" t="s">
        <v>159</v>
      </c>
      <c r="K5" s="67" t="s">
        <v>78</v>
      </c>
      <c r="L5" s="68" t="s">
        <v>172</v>
      </c>
      <c r="M5" s="68" t="s">
        <v>161</v>
      </c>
      <c r="N5" s="71" t="s">
        <v>159</v>
      </c>
      <c r="P5" s="67" t="s">
        <v>184</v>
      </c>
      <c r="Q5" s="69" t="s">
        <v>184</v>
      </c>
      <c r="R5" s="119" t="s">
        <v>184</v>
      </c>
      <c r="S5" s="127" t="s">
        <v>159</v>
      </c>
      <c r="T5" s="69" t="s">
        <v>191</v>
      </c>
      <c r="U5" s="69" t="s">
        <v>192</v>
      </c>
      <c r="V5" s="69" t="s">
        <v>194</v>
      </c>
      <c r="W5" s="69" t="s">
        <v>195</v>
      </c>
      <c r="X5" s="69" t="s">
        <v>196</v>
      </c>
      <c r="Y5" s="69" t="s">
        <v>197</v>
      </c>
      <c r="Z5" s="68" t="s">
        <v>198</v>
      </c>
      <c r="AA5" s="68" t="s">
        <v>199</v>
      </c>
      <c r="AB5" s="127" t="s">
        <v>159</v>
      </c>
      <c r="AC5" s="137" t="s">
        <v>202</v>
      </c>
      <c r="AD5" s="137" t="s">
        <v>205</v>
      </c>
      <c r="AE5" s="137" t="s">
        <v>206</v>
      </c>
      <c r="AF5" s="137" t="s">
        <v>208</v>
      </c>
      <c r="AG5" s="137" t="s">
        <v>209</v>
      </c>
      <c r="AH5" s="137" t="s">
        <v>211</v>
      </c>
      <c r="AI5" s="137" t="s">
        <v>214</v>
      </c>
      <c r="AJ5" s="137" t="s">
        <v>216</v>
      </c>
      <c r="AK5" s="137" t="s">
        <v>220</v>
      </c>
      <c r="AL5" s="71" t="s">
        <v>159</v>
      </c>
      <c r="AN5" s="67" t="s">
        <v>78</v>
      </c>
      <c r="AO5" s="68" t="s">
        <v>78</v>
      </c>
      <c r="AP5" s="339" t="s">
        <v>232</v>
      </c>
      <c r="AQ5" s="347"/>
      <c r="AR5" s="71" t="s">
        <v>159</v>
      </c>
      <c r="AT5" s="67" t="s">
        <v>159</v>
      </c>
      <c r="AU5" s="68" t="s">
        <v>159</v>
      </c>
      <c r="AV5" s="68" t="s">
        <v>235</v>
      </c>
      <c r="AW5" s="68" t="s">
        <v>235</v>
      </c>
      <c r="AX5" s="68" t="s">
        <v>235</v>
      </c>
      <c r="AY5" s="339" t="s">
        <v>232</v>
      </c>
      <c r="AZ5" s="339"/>
      <c r="BA5" s="347"/>
      <c r="BB5" s="71" t="s">
        <v>159</v>
      </c>
      <c r="BD5" s="350" t="s">
        <v>78</v>
      </c>
      <c r="BE5" s="347"/>
      <c r="BF5" s="338" t="s">
        <v>78</v>
      </c>
      <c r="BG5" s="339"/>
      <c r="BH5" s="338" t="s">
        <v>276</v>
      </c>
      <c r="BI5" s="339"/>
      <c r="BJ5" s="343"/>
      <c r="BL5" s="182" t="s">
        <v>159</v>
      </c>
      <c r="BM5" s="180" t="s">
        <v>255</v>
      </c>
    </row>
    <row r="6" spans="2:67" ht="15.75">
      <c r="B6" s="200"/>
      <c r="C6" s="201"/>
      <c r="D6" s="202"/>
      <c r="E6" s="61"/>
      <c r="F6" s="67" t="s">
        <v>171</v>
      </c>
      <c r="G6" s="69" t="s">
        <v>171</v>
      </c>
      <c r="H6" s="68" t="s">
        <v>171</v>
      </c>
      <c r="I6" s="71" t="s">
        <v>0</v>
      </c>
      <c r="K6" s="72" t="s">
        <v>0</v>
      </c>
      <c r="L6" s="73" t="s">
        <v>0</v>
      </c>
      <c r="M6" s="68" t="s">
        <v>0</v>
      </c>
      <c r="N6" s="71" t="s">
        <v>0</v>
      </c>
      <c r="P6" s="72" t="s">
        <v>0</v>
      </c>
      <c r="Q6" s="73" t="s">
        <v>0</v>
      </c>
      <c r="R6" s="120" t="s">
        <v>0</v>
      </c>
      <c r="S6" s="127" t="s">
        <v>0</v>
      </c>
      <c r="T6" s="73" t="s">
        <v>0</v>
      </c>
      <c r="U6" s="73" t="s">
        <v>0</v>
      </c>
      <c r="V6" s="73" t="s">
        <v>0</v>
      </c>
      <c r="W6" s="73" t="s">
        <v>0</v>
      </c>
      <c r="X6" s="73" t="s">
        <v>0</v>
      </c>
      <c r="Y6" s="73" t="s">
        <v>0</v>
      </c>
      <c r="Z6" s="73" t="s">
        <v>0</v>
      </c>
      <c r="AA6" s="73" t="s">
        <v>0</v>
      </c>
      <c r="AB6" s="127" t="s">
        <v>0</v>
      </c>
      <c r="AC6" s="138" t="s">
        <v>0</v>
      </c>
      <c r="AD6" s="138" t="s">
        <v>0</v>
      </c>
      <c r="AE6" s="138" t="s">
        <v>0</v>
      </c>
      <c r="AF6" s="138" t="s">
        <v>0</v>
      </c>
      <c r="AG6" s="138" t="s">
        <v>0</v>
      </c>
      <c r="AH6" s="138" t="s">
        <v>0</v>
      </c>
      <c r="AI6" s="138" t="s">
        <v>0</v>
      </c>
      <c r="AJ6" s="138" t="s">
        <v>0</v>
      </c>
      <c r="AK6" s="138" t="s">
        <v>0</v>
      </c>
      <c r="AL6" s="71" t="s">
        <v>0</v>
      </c>
      <c r="AN6" s="72" t="s">
        <v>0</v>
      </c>
      <c r="AO6" s="73" t="s">
        <v>75</v>
      </c>
      <c r="AP6" s="73" t="s">
        <v>75</v>
      </c>
      <c r="AQ6" s="68" t="s">
        <v>0</v>
      </c>
      <c r="AR6" s="71" t="s">
        <v>0</v>
      </c>
      <c r="AT6" s="72" t="s">
        <v>0</v>
      </c>
      <c r="AU6" s="73" t="s">
        <v>0</v>
      </c>
      <c r="AV6" s="73" t="s">
        <v>75</v>
      </c>
      <c r="AW6" s="73" t="s">
        <v>75</v>
      </c>
      <c r="AX6" s="73" t="s">
        <v>3</v>
      </c>
      <c r="AY6" s="73" t="s">
        <v>3</v>
      </c>
      <c r="AZ6" s="73" t="s">
        <v>75</v>
      </c>
      <c r="BA6" s="68" t="s">
        <v>0</v>
      </c>
      <c r="BB6" s="71" t="s">
        <v>0</v>
      </c>
      <c r="BD6" s="276" t="s">
        <v>0</v>
      </c>
      <c r="BE6" s="120" t="s">
        <v>75</v>
      </c>
      <c r="BF6" s="274" t="s">
        <v>0</v>
      </c>
      <c r="BG6" s="73" t="s">
        <v>75</v>
      </c>
      <c r="BH6" s="274" t="s">
        <v>0</v>
      </c>
      <c r="BI6" s="73" t="s">
        <v>75</v>
      </c>
      <c r="BJ6" s="275" t="s">
        <v>3</v>
      </c>
      <c r="BL6" s="182" t="s">
        <v>0</v>
      </c>
      <c r="BM6" s="180" t="s">
        <v>0</v>
      </c>
    </row>
    <row r="7" spans="2:67" s="314" customFormat="1" ht="15.75">
      <c r="B7" s="310"/>
      <c r="C7" s="311"/>
      <c r="D7" s="312"/>
      <c r="E7" s="309"/>
      <c r="F7" s="299" t="s">
        <v>285</v>
      </c>
      <c r="G7" s="306" t="s">
        <v>286</v>
      </c>
      <c r="H7" s="300" t="s">
        <v>287</v>
      </c>
      <c r="I7" s="301" t="s">
        <v>288</v>
      </c>
      <c r="J7" s="313"/>
      <c r="K7" s="299" t="s">
        <v>289</v>
      </c>
      <c r="L7" s="306" t="s">
        <v>290</v>
      </c>
      <c r="M7" s="300" t="s">
        <v>291</v>
      </c>
      <c r="N7" s="301" t="s">
        <v>292</v>
      </c>
      <c r="O7" s="313"/>
      <c r="P7" s="299" t="s">
        <v>293</v>
      </c>
      <c r="Q7" s="306" t="s">
        <v>294</v>
      </c>
      <c r="R7" s="307" t="s">
        <v>296</v>
      </c>
      <c r="S7" s="302" t="s">
        <v>295</v>
      </c>
      <c r="T7" s="306" t="s">
        <v>297</v>
      </c>
      <c r="U7" s="306" t="s">
        <v>298</v>
      </c>
      <c r="V7" s="306" t="s">
        <v>299</v>
      </c>
      <c r="W7" s="306" t="s">
        <v>300</v>
      </c>
      <c r="X7" s="306" t="s">
        <v>301</v>
      </c>
      <c r="Y7" s="306" t="s">
        <v>302</v>
      </c>
      <c r="Z7" s="306" t="s">
        <v>303</v>
      </c>
      <c r="AA7" s="306" t="s">
        <v>304</v>
      </c>
      <c r="AB7" s="302" t="s">
        <v>305</v>
      </c>
      <c r="AC7" s="308" t="s">
        <v>306</v>
      </c>
      <c r="AD7" s="308" t="s">
        <v>307</v>
      </c>
      <c r="AE7" s="308" t="s">
        <v>308</v>
      </c>
      <c r="AF7" s="308" t="s">
        <v>309</v>
      </c>
      <c r="AG7" s="308" t="s">
        <v>310</v>
      </c>
      <c r="AH7" s="308" t="s">
        <v>311</v>
      </c>
      <c r="AI7" s="308" t="s">
        <v>312</v>
      </c>
      <c r="AJ7" s="308" t="s">
        <v>313</v>
      </c>
      <c r="AK7" s="308" t="s">
        <v>314</v>
      </c>
      <c r="AL7" s="301" t="s">
        <v>315</v>
      </c>
      <c r="AM7" s="313"/>
      <c r="AN7" s="299" t="s">
        <v>316</v>
      </c>
      <c r="AO7" s="306" t="s">
        <v>317</v>
      </c>
      <c r="AP7" s="306" t="s">
        <v>318</v>
      </c>
      <c r="AQ7" s="300" t="s">
        <v>319</v>
      </c>
      <c r="AR7" s="301" t="s">
        <v>320</v>
      </c>
      <c r="AS7" s="313"/>
      <c r="AT7" s="299" t="s">
        <v>321</v>
      </c>
      <c r="AU7" s="306" t="s">
        <v>322</v>
      </c>
      <c r="AV7" s="306" t="s">
        <v>323</v>
      </c>
      <c r="AW7" s="306" t="s">
        <v>324</v>
      </c>
      <c r="AX7" s="306" t="s">
        <v>325</v>
      </c>
      <c r="AY7" s="306" t="s">
        <v>326</v>
      </c>
      <c r="AZ7" s="306" t="s">
        <v>327</v>
      </c>
      <c r="BA7" s="300" t="s">
        <v>328</v>
      </c>
      <c r="BB7" s="301" t="s">
        <v>329</v>
      </c>
      <c r="BC7" s="313"/>
      <c r="BD7" s="303" t="s">
        <v>330</v>
      </c>
      <c r="BE7" s="307" t="s">
        <v>331</v>
      </c>
      <c r="BF7" s="304" t="s">
        <v>332</v>
      </c>
      <c r="BG7" s="306" t="s">
        <v>333</v>
      </c>
      <c r="BH7" s="304" t="s">
        <v>334</v>
      </c>
      <c r="BI7" s="306" t="s">
        <v>335</v>
      </c>
      <c r="BJ7" s="305" t="s">
        <v>336</v>
      </c>
      <c r="BK7" s="313"/>
      <c r="BL7" s="303" t="s">
        <v>337</v>
      </c>
      <c r="BM7" s="305" t="s">
        <v>338</v>
      </c>
    </row>
    <row r="8" spans="2:67" ht="24.95" customHeight="1">
      <c r="B8" s="198"/>
      <c r="C8" s="75" t="s">
        <v>166</v>
      </c>
      <c r="D8" s="203"/>
      <c r="E8" s="75"/>
      <c r="F8" s="76"/>
      <c r="G8" s="107"/>
      <c r="H8" s="107"/>
      <c r="I8" s="78"/>
      <c r="J8" s="103"/>
      <c r="K8" s="76"/>
      <c r="L8" s="107"/>
      <c r="M8" s="107"/>
      <c r="N8" s="78"/>
      <c r="O8" s="103"/>
      <c r="P8" s="76"/>
      <c r="Q8" s="77"/>
      <c r="R8" s="121"/>
      <c r="S8" s="128"/>
      <c r="T8" s="77"/>
      <c r="U8" s="77"/>
      <c r="V8" s="77"/>
      <c r="W8" s="77"/>
      <c r="X8" s="77"/>
      <c r="Y8" s="77"/>
      <c r="Z8" s="107"/>
      <c r="AA8" s="107"/>
      <c r="AB8" s="128"/>
      <c r="AC8" s="139"/>
      <c r="AD8" s="139"/>
      <c r="AE8" s="139"/>
      <c r="AF8" s="139"/>
      <c r="AG8" s="139"/>
      <c r="AH8" s="139"/>
      <c r="AI8" s="139"/>
      <c r="AJ8" s="139"/>
      <c r="AK8" s="139"/>
      <c r="AL8" s="78"/>
      <c r="AM8" s="103"/>
      <c r="AN8" s="76"/>
      <c r="AO8" s="107"/>
      <c r="AP8" s="107"/>
      <c r="AQ8" s="107"/>
      <c r="AR8" s="78"/>
      <c r="AS8" s="103"/>
      <c r="AT8" s="76"/>
      <c r="AU8" s="107"/>
      <c r="AV8" s="107"/>
      <c r="AW8" s="107"/>
      <c r="AX8" s="107"/>
      <c r="AY8" s="107"/>
      <c r="AZ8" s="107"/>
      <c r="BA8" s="107"/>
      <c r="BB8" s="78"/>
      <c r="BC8" s="103"/>
      <c r="BD8" s="76"/>
      <c r="BE8" s="121"/>
      <c r="BF8" s="263"/>
      <c r="BG8" s="77"/>
      <c r="BH8" s="263"/>
      <c r="BI8" s="77"/>
      <c r="BJ8" s="79"/>
      <c r="BK8" s="103"/>
      <c r="BL8" s="76"/>
      <c r="BM8" s="79"/>
    </row>
    <row r="9" spans="2:67" ht="15.75">
      <c r="B9" s="198">
        <v>2000</v>
      </c>
      <c r="C9" s="60" t="s">
        <v>9</v>
      </c>
      <c r="D9" s="204"/>
      <c r="F9" s="80">
        <v>293</v>
      </c>
      <c r="G9" s="163"/>
      <c r="H9" s="164">
        <v>0</v>
      </c>
      <c r="I9" s="94">
        <f t="shared" ref="I9:I58" si="0">SUM(F9:H9)</f>
        <v>293</v>
      </c>
      <c r="J9" s="103"/>
      <c r="K9" s="80">
        <v>951775.52262444759</v>
      </c>
      <c r="L9" s="163"/>
      <c r="M9" s="163"/>
      <c r="N9" s="94">
        <f t="shared" ref="N9:N58" si="1">SUM(K9:M9)</f>
        <v>951775.52262444759</v>
      </c>
      <c r="O9" s="103"/>
      <c r="P9" s="80">
        <f>P$76*'TABLE 4 - October 2016 Dataset'!F9</f>
        <v>804868.07</v>
      </c>
      <c r="Q9" s="160"/>
      <c r="R9" s="161"/>
      <c r="S9" s="162">
        <f>SUM(P9:R9)</f>
        <v>804868.07</v>
      </c>
      <c r="T9" s="165">
        <f>T$76*'TABLE 4 - October 2016 Dataset'!I9</f>
        <v>4399.9999999999991</v>
      </c>
      <c r="U9" s="165">
        <f>U$76*'TABLE 4 - October 2016 Dataset'!J9</f>
        <v>13889.541984732823</v>
      </c>
      <c r="V9" s="165">
        <f>V$76*'TABLE 4 - October 2016 Dataset'!K9</f>
        <v>0</v>
      </c>
      <c r="W9" s="165">
        <f>W$76*'TABLE 4 - October 2016 Dataset'!L9</f>
        <v>0</v>
      </c>
      <c r="X9" s="165">
        <f>X$76*'TABLE 4 - October 2016 Dataset'!M9</f>
        <v>10139.999999999998</v>
      </c>
      <c r="Y9" s="165">
        <f>Y$76*'TABLE 4 - October 2016 Dataset'!N9</f>
        <v>3240.0000000000045</v>
      </c>
      <c r="Z9" s="165">
        <f>Z$76*'TABLE 4 - October 2016 Dataset'!O9</f>
        <v>0</v>
      </c>
      <c r="AA9" s="165">
        <f>AA$76*'TABLE 4 - October 2016 Dataset'!P9</f>
        <v>5199.9999999999991</v>
      </c>
      <c r="AB9" s="162">
        <f>SUM(T9:AA9)</f>
        <v>36869.541984732823</v>
      </c>
      <c r="AC9" s="140">
        <f>AC$76*'TABLE 4 - October 2016 Dataset'!Q9</f>
        <v>66018.910256410294</v>
      </c>
      <c r="AD9" s="140">
        <f>AD$76*'TABLE 4 - October 2016 Dataset'!R9</f>
        <v>3224.2521367521413</v>
      </c>
      <c r="AE9" s="140">
        <f>AE$76*'TABLE 4 - October 2016 Dataset'!S9</f>
        <v>0</v>
      </c>
      <c r="AF9" s="140">
        <f>AF$76</f>
        <v>110000</v>
      </c>
      <c r="AG9" s="140">
        <f>IF('TABLE 4 - October 2016 Dataset'!X9="No",0,"*CHECK*")</f>
        <v>0</v>
      </c>
      <c r="AH9" s="140">
        <f>'TABLE 4 - October 2016 Dataset'!Y9</f>
        <v>29040</v>
      </c>
      <c r="AI9" s="170">
        <f>IF('TABLE 4 - October 2016 Dataset'!Z9&gt;0,('TABLE 4 - October 2016 Dataset'!Z9*(1+'TABLE 1 - 2018-19 Provisional'!AI$79)*(1+AI$79))-((AI$76*SUM('TABLE 4 - October 2016 Dataset'!F9:H9))+AI$77),0)</f>
        <v>0</v>
      </c>
      <c r="AJ9" s="166" t="str">
        <f>IF('TABLE 4 - October 2016 Dataset'!AA9="Yes",'TABLE 3 - Target Illustrative'!AJ$76*SUM('TABLE 4 - October 2016 Dataset'!F9:H9),"")</f>
        <v/>
      </c>
      <c r="AK9" s="140">
        <f>AK$76*SUM(S9,AB9:AJ9)</f>
        <v>0</v>
      </c>
      <c r="AL9" s="94">
        <f>SUM(S9,AB9:AK9)</f>
        <v>1050020.7743778951</v>
      </c>
      <c r="AM9" s="103"/>
      <c r="AN9" s="80">
        <f t="shared" ref="AN9:AN58" si="2">AL9-SUM(AH9:AJ9)</f>
        <v>1020980.7743778951</v>
      </c>
      <c r="AO9" s="165">
        <f>AN9/SUM('TABLE 4 - October 2016 Dataset'!F9:H9)</f>
        <v>3484.5760217675597</v>
      </c>
      <c r="AP9" s="165">
        <f t="shared" ref="AP9:AP60" si="3">IF(AO9&lt;AP$76,AP$76-AO9,0)</f>
        <v>15.423978232440277</v>
      </c>
      <c r="AQ9" s="165">
        <f>AP9*SUM('TABLE 4 - October 2016 Dataset'!F9:H9)</f>
        <v>4519.2256221050011</v>
      </c>
      <c r="AR9" s="94">
        <f>AL9+AQ9</f>
        <v>1054540</v>
      </c>
      <c r="AS9" s="103"/>
      <c r="AT9" s="80">
        <f>N9-(AF9+AG9+'TABLE 4 - October 2016 Dataset'!Y9)</f>
        <v>812735.52262444759</v>
      </c>
      <c r="AU9" s="187">
        <f>AR9-(AF9+AG9+AH9)</f>
        <v>915500</v>
      </c>
      <c r="AV9" s="165">
        <f>AT9/I9</f>
        <v>2773.8413741448721</v>
      </c>
      <c r="AW9" s="165">
        <f>AU9/SUM('TABLE 4 - October 2016 Dataset'!F9:H9)</f>
        <v>3124.5733788395905</v>
      </c>
      <c r="AX9" s="173">
        <f>(AW9/AV9)-1</f>
        <v>0.12644270431752536</v>
      </c>
      <c r="AY9" s="173">
        <f>IF(AX9&lt;AY$76,AY$76-AX9,0)</f>
        <v>0</v>
      </c>
      <c r="AZ9" s="175">
        <f>AY9*AV9</f>
        <v>0</v>
      </c>
      <c r="BA9" s="165">
        <f>AZ9*I9</f>
        <v>0</v>
      </c>
      <c r="BB9" s="94">
        <f>AR9+BA9</f>
        <v>1054540</v>
      </c>
      <c r="BC9" s="103"/>
      <c r="BD9" s="80">
        <f>N9</f>
        <v>951775.52262444759</v>
      </c>
      <c r="BE9" s="122">
        <f>BD9/I9</f>
        <v>3248.3806232916299</v>
      </c>
      <c r="BF9" s="264">
        <f>BB9</f>
        <v>1054540</v>
      </c>
      <c r="BG9" s="81">
        <f>BF9/SUM('TABLE 4 - October 2016 Dataset'!F9:H9)</f>
        <v>3599.1126279863483</v>
      </c>
      <c r="BH9" s="264">
        <f>BF9-BD9</f>
        <v>102764.47737555241</v>
      </c>
      <c r="BI9" s="81">
        <f>BG9-BE9</f>
        <v>350.7320046947184</v>
      </c>
      <c r="BJ9" s="269">
        <f>BI9/BE9</f>
        <v>0.10797133875873102</v>
      </c>
      <c r="BK9" s="103"/>
      <c r="BL9" s="80">
        <f>'TABLE 5 - DfE Published Figures'!T8</f>
        <v>1055000</v>
      </c>
      <c r="BM9" s="84">
        <f>ROUND(BB9,-3)-BL9</f>
        <v>0</v>
      </c>
      <c r="BO9" s="103"/>
    </row>
    <row r="10" spans="2:67" ht="15.75">
      <c r="B10" s="198">
        <v>3229</v>
      </c>
      <c r="C10" s="60" t="s">
        <v>11</v>
      </c>
      <c r="D10" s="204"/>
      <c r="F10" s="80">
        <v>248</v>
      </c>
      <c r="G10" s="163"/>
      <c r="H10" s="164">
        <v>0</v>
      </c>
      <c r="I10" s="94">
        <f t="shared" si="0"/>
        <v>248</v>
      </c>
      <c r="J10" s="103"/>
      <c r="K10" s="80">
        <v>837362.4617910987</v>
      </c>
      <c r="L10" s="163"/>
      <c r="M10" s="163"/>
      <c r="N10" s="94">
        <f t="shared" si="1"/>
        <v>837362.4617910987</v>
      </c>
      <c r="O10" s="103"/>
      <c r="P10" s="80">
        <f>P$76*'TABLE 4 - October 2016 Dataset'!F10</f>
        <v>681253.5199999999</v>
      </c>
      <c r="Q10" s="160"/>
      <c r="R10" s="161"/>
      <c r="S10" s="162">
        <f t="shared" ref="S10:S58" si="4">SUM(P10:R10)</f>
        <v>681253.5199999999</v>
      </c>
      <c r="T10" s="165">
        <f>T$76*'TABLE 4 - October 2016 Dataset'!I10</f>
        <v>3519.9999999999959</v>
      </c>
      <c r="U10" s="165">
        <f>U$76*'TABLE 4 - October 2016 Dataset'!J10</f>
        <v>9180</v>
      </c>
      <c r="V10" s="165">
        <f>V$76*'TABLE 4 - October 2016 Dataset'!K10</f>
        <v>0</v>
      </c>
      <c r="W10" s="165">
        <f>W$76*'TABLE 4 - October 2016 Dataset'!L10</f>
        <v>0</v>
      </c>
      <c r="X10" s="165">
        <f>X$76*'TABLE 4 - October 2016 Dataset'!M10</f>
        <v>783.15789473684174</v>
      </c>
      <c r="Y10" s="165">
        <f>Y$76*'TABLE 4 - October 2016 Dataset'!N10</f>
        <v>0</v>
      </c>
      <c r="Z10" s="165">
        <f>Z$76*'TABLE 4 - October 2016 Dataset'!O10</f>
        <v>0</v>
      </c>
      <c r="AA10" s="165">
        <f>AA$76*'TABLE 4 - October 2016 Dataset'!P10</f>
        <v>200.80971659919041</v>
      </c>
      <c r="AB10" s="162">
        <f t="shared" ref="AB10:AB58" si="5">SUM(T10:AA10)</f>
        <v>13683.967611336029</v>
      </c>
      <c r="AC10" s="140">
        <f>AC$76*'TABLE 4 - October 2016 Dataset'!Q10</f>
        <v>72520.83958020994</v>
      </c>
      <c r="AD10" s="140">
        <f>AD$76*'TABLE 4 - October 2016 Dataset'!R10</f>
        <v>0</v>
      </c>
      <c r="AE10" s="140">
        <f>AE$76*'TABLE 4 - October 2016 Dataset'!S10</f>
        <v>0</v>
      </c>
      <c r="AF10" s="140">
        <f t="shared" ref="AF10:AF58" si="6">AF$76</f>
        <v>110000</v>
      </c>
      <c r="AG10" s="140">
        <f>IF('TABLE 4 - October 2016 Dataset'!X10="No",0,"*CHECK*")</f>
        <v>0</v>
      </c>
      <c r="AH10" s="140">
        <f>'TABLE 4 - October 2016 Dataset'!Y10</f>
        <v>12225.55</v>
      </c>
      <c r="AI10" s="170">
        <f>IF('TABLE 4 - October 2016 Dataset'!Z10&gt;0,('TABLE 4 - October 2016 Dataset'!Z10*(1+'TABLE 1 - 2018-19 Provisional'!AI$79)*(1+AI$79))-((AI$76*SUM('TABLE 4 - October 2016 Dataset'!F10:H10))+AI$77),0)</f>
        <v>0</v>
      </c>
      <c r="AJ10" s="166" t="str">
        <f>IF('TABLE 4 - October 2016 Dataset'!AA10="Yes",'TABLE 3 - Target Illustrative'!AJ$76*SUM('TABLE 4 - October 2016 Dataset'!F10:H10),"")</f>
        <v/>
      </c>
      <c r="AK10" s="140">
        <f t="shared" ref="AK10:AK58" si="7">AK$76*SUM(S10,AB10:AJ10)</f>
        <v>0</v>
      </c>
      <c r="AL10" s="94">
        <f t="shared" ref="AL10:AL58" si="8">SUM(S10,AB10:AK10)</f>
        <v>889683.87719154591</v>
      </c>
      <c r="AM10" s="103"/>
      <c r="AN10" s="80">
        <f t="shared" si="2"/>
        <v>877458.32719154586</v>
      </c>
      <c r="AO10" s="165">
        <f>AN10/SUM('TABLE 4 - October 2016 Dataset'!F10:H10)</f>
        <v>3538.1384160949428</v>
      </c>
      <c r="AP10" s="165">
        <f t="shared" si="3"/>
        <v>0</v>
      </c>
      <c r="AQ10" s="165">
        <f>AP10*SUM('TABLE 4 - October 2016 Dataset'!F10:H10)</f>
        <v>0</v>
      </c>
      <c r="AR10" s="94">
        <f t="shared" ref="AR10:AR58" si="9">AL10+AQ10</f>
        <v>889683.87719154591</v>
      </c>
      <c r="AS10" s="103"/>
      <c r="AT10" s="80">
        <f>N10-(AF10+AG10+'TABLE 4 - October 2016 Dataset'!Y10)</f>
        <v>715136.91179109865</v>
      </c>
      <c r="AU10" s="187">
        <f t="shared" ref="AU10:AU58" si="10">AR10-(AF10+AG10+AH10)</f>
        <v>767458.32719154586</v>
      </c>
      <c r="AV10" s="165">
        <f t="shared" ref="AV10:AV58" si="11">AT10/I10</f>
        <v>2883.6165798028173</v>
      </c>
      <c r="AW10" s="165">
        <f>AU10/SUM('TABLE 4 - October 2016 Dataset'!F10:H10)</f>
        <v>3094.5900289981687</v>
      </c>
      <c r="AX10" s="173">
        <f t="shared" ref="AX10:AX58" si="12">(AW10/AV10)-1</f>
        <v>7.3162795176388462E-2</v>
      </c>
      <c r="AY10" s="173">
        <f t="shared" ref="AY10:AY58" si="13">IF(AX10&lt;AY$76,AY$76-AX10,0)</f>
        <v>0</v>
      </c>
      <c r="AZ10" s="175">
        <f t="shared" ref="AZ10:AZ58" si="14">AY10*AV10</f>
        <v>0</v>
      </c>
      <c r="BA10" s="165">
        <f t="shared" ref="BA10:BA58" si="15">AZ10*I10</f>
        <v>0</v>
      </c>
      <c r="BB10" s="94">
        <f t="shared" ref="BB10:BB58" si="16">AR10+BA10</f>
        <v>889683.87719154591</v>
      </c>
      <c r="BC10" s="103"/>
      <c r="BD10" s="80">
        <f t="shared" ref="BD10:BD58" si="17">N10</f>
        <v>837362.4617910987</v>
      </c>
      <c r="BE10" s="122">
        <f t="shared" ref="BE10:BE60" si="18">BD10/I10</f>
        <v>3376.4615394802368</v>
      </c>
      <c r="BF10" s="264">
        <f t="shared" ref="BF10:BF58" si="19">BB10</f>
        <v>889683.87719154591</v>
      </c>
      <c r="BG10" s="81">
        <f>BF10/SUM('TABLE 4 - October 2016 Dataset'!F10:H10)</f>
        <v>3587.4349886755886</v>
      </c>
      <c r="BH10" s="264">
        <f t="shared" ref="BH10:BI58" si="20">BF10-BD10</f>
        <v>52321.415400447208</v>
      </c>
      <c r="BI10" s="81">
        <f t="shared" si="20"/>
        <v>210.9734491953518</v>
      </c>
      <c r="BJ10" s="269">
        <f t="shared" ref="BJ10:BJ58" si="21">BI10/BE10</f>
        <v>6.2483593172463173E-2</v>
      </c>
      <c r="BK10" s="103"/>
      <c r="BL10" s="80">
        <f>'TABLE 5 - DfE Published Figures'!T9</f>
        <v>890000</v>
      </c>
      <c r="BM10" s="84">
        <f t="shared" ref="BM10:BM58" si="22">ROUND(BB10,-3)-BL10</f>
        <v>0</v>
      </c>
      <c r="BO10" s="103"/>
    </row>
    <row r="11" spans="2:67" ht="15.75">
      <c r="B11" s="198">
        <v>2431</v>
      </c>
      <c r="C11" s="60" t="s">
        <v>13</v>
      </c>
      <c r="D11" s="204" t="s">
        <v>70</v>
      </c>
      <c r="F11" s="80">
        <v>195</v>
      </c>
      <c r="G11" s="163"/>
      <c r="H11" s="164">
        <v>-1</v>
      </c>
      <c r="I11" s="94">
        <f t="shared" si="0"/>
        <v>194</v>
      </c>
      <c r="J11" s="103"/>
      <c r="K11" s="80">
        <v>724227.27044204972</v>
      </c>
      <c r="L11" s="163"/>
      <c r="M11" s="163"/>
      <c r="N11" s="94">
        <f t="shared" si="1"/>
        <v>724227.27044204972</v>
      </c>
      <c r="O11" s="103"/>
      <c r="P11" s="80">
        <f>P$76*'TABLE 4 - October 2016 Dataset'!F11</f>
        <v>532916.05999999994</v>
      </c>
      <c r="Q11" s="160"/>
      <c r="R11" s="161"/>
      <c r="S11" s="162">
        <f t="shared" si="4"/>
        <v>532916.05999999994</v>
      </c>
      <c r="T11" s="165">
        <f>T$76*'TABLE 4 - October 2016 Dataset'!I11</f>
        <v>10999.999999999975</v>
      </c>
      <c r="U11" s="165">
        <f>U$76*'TABLE 4 - October 2016 Dataset'!J11</f>
        <v>17728.615384615387</v>
      </c>
      <c r="V11" s="165">
        <f>V$76*'TABLE 4 - October 2016 Dataset'!K11</f>
        <v>0</v>
      </c>
      <c r="W11" s="165">
        <f>W$76*'TABLE 4 - October 2016 Dataset'!L11</f>
        <v>2955.2331606217645</v>
      </c>
      <c r="X11" s="165">
        <f>X$76*'TABLE 4 - October 2016 Dataset'!M11</f>
        <v>0</v>
      </c>
      <c r="Y11" s="165">
        <f>Y$76*'TABLE 4 - October 2016 Dataset'!N11</f>
        <v>361.86528497409341</v>
      </c>
      <c r="Z11" s="165">
        <f>Z$76*'TABLE 4 - October 2016 Dataset'!O11</f>
        <v>482.48704663212277</v>
      </c>
      <c r="AA11" s="165">
        <f>AA$76*'TABLE 4 - October 2016 Dataset'!P11</f>
        <v>11660.103626943008</v>
      </c>
      <c r="AB11" s="162">
        <f t="shared" si="5"/>
        <v>44188.304503786349</v>
      </c>
      <c r="AC11" s="140">
        <f>AC$76*'TABLE 4 - October 2016 Dataset'!Q11</f>
        <v>54826.234854728114</v>
      </c>
      <c r="AD11" s="140">
        <f>AD$76*'TABLE 4 - October 2016 Dataset'!R11</f>
        <v>12414.852071005938</v>
      </c>
      <c r="AE11" s="140">
        <f>AE$76*'TABLE 4 - October 2016 Dataset'!S11</f>
        <v>4692.5999999999949</v>
      </c>
      <c r="AF11" s="140">
        <f t="shared" si="6"/>
        <v>110000</v>
      </c>
      <c r="AG11" s="140">
        <f>IF('TABLE 4 - October 2016 Dataset'!X11="No",0,"*CHECK*")</f>
        <v>0</v>
      </c>
      <c r="AH11" s="140">
        <f>'TABLE 4 - October 2016 Dataset'!Y11</f>
        <v>2103.9299999999998</v>
      </c>
      <c r="AI11" s="170">
        <f>IF('TABLE 4 - October 2016 Dataset'!Z11&gt;0,('TABLE 4 - October 2016 Dataset'!Z11*(1+'TABLE 1 - 2018-19 Provisional'!AI$79)*(1+AI$79))-((AI$76*SUM('TABLE 4 - October 2016 Dataset'!F11:H11))+AI$77),0)</f>
        <v>0</v>
      </c>
      <c r="AJ11" s="166" t="str">
        <f>IF('TABLE 4 - October 2016 Dataset'!AA11="Yes",'TABLE 3 - Target Illustrative'!AJ$76*SUM('TABLE 4 - October 2016 Dataset'!F11:H11),"")</f>
        <v/>
      </c>
      <c r="AK11" s="140">
        <f t="shared" si="7"/>
        <v>0</v>
      </c>
      <c r="AL11" s="94">
        <f t="shared" si="8"/>
        <v>761141.98142952041</v>
      </c>
      <c r="AM11" s="103"/>
      <c r="AN11" s="80">
        <f t="shared" si="2"/>
        <v>759038.05142952036</v>
      </c>
      <c r="AO11" s="165">
        <f>AN11/SUM('TABLE 4 - October 2016 Dataset'!F11:H11)</f>
        <v>3912.5672754098987</v>
      </c>
      <c r="AP11" s="165">
        <f t="shared" si="3"/>
        <v>0</v>
      </c>
      <c r="AQ11" s="165">
        <f>AP11*SUM('TABLE 4 - October 2016 Dataset'!F11:H11)</f>
        <v>0</v>
      </c>
      <c r="AR11" s="94">
        <f t="shared" si="9"/>
        <v>761141.98142952041</v>
      </c>
      <c r="AS11" s="103"/>
      <c r="AT11" s="80">
        <f>N11-(AF11+AG11+'TABLE 4 - October 2016 Dataset'!Y11)</f>
        <v>612123.34044204978</v>
      </c>
      <c r="AU11" s="187">
        <f t="shared" si="10"/>
        <v>649038.05142952036</v>
      </c>
      <c r="AV11" s="165">
        <f t="shared" si="11"/>
        <v>3155.2749507322155</v>
      </c>
      <c r="AW11" s="165">
        <f>AU11/SUM('TABLE 4 - October 2016 Dataset'!F11:H11)</f>
        <v>3345.5569661315481</v>
      </c>
      <c r="AX11" s="173">
        <f t="shared" si="12"/>
        <v>6.0306001337593562E-2</v>
      </c>
      <c r="AY11" s="173">
        <f t="shared" si="13"/>
        <v>0</v>
      </c>
      <c r="AZ11" s="175">
        <f t="shared" si="14"/>
        <v>0</v>
      </c>
      <c r="BA11" s="165">
        <f t="shared" si="15"/>
        <v>0</v>
      </c>
      <c r="BB11" s="94">
        <f t="shared" si="16"/>
        <v>761141.98142952041</v>
      </c>
      <c r="BC11" s="103"/>
      <c r="BD11" s="80">
        <f t="shared" si="17"/>
        <v>724227.27044204972</v>
      </c>
      <c r="BE11" s="122">
        <f t="shared" si="18"/>
        <v>3733.1302600105655</v>
      </c>
      <c r="BF11" s="264">
        <f t="shared" si="19"/>
        <v>761141.98142952041</v>
      </c>
      <c r="BG11" s="81">
        <f>BF11/SUM('TABLE 4 - October 2016 Dataset'!F11:H11)</f>
        <v>3923.4122754098989</v>
      </c>
      <c r="BH11" s="264">
        <f t="shared" si="20"/>
        <v>36914.710987470695</v>
      </c>
      <c r="BI11" s="81">
        <f t="shared" si="20"/>
        <v>190.28201539933343</v>
      </c>
      <c r="BJ11" s="269">
        <f t="shared" si="21"/>
        <v>5.0971169540383221E-2</v>
      </c>
      <c r="BK11" s="103"/>
      <c r="BL11" s="80">
        <f>'TABLE 5 - DfE Published Figures'!T10</f>
        <v>759000</v>
      </c>
      <c r="BM11" s="84">
        <f t="shared" si="22"/>
        <v>2000</v>
      </c>
      <c r="BO11" s="103"/>
    </row>
    <row r="12" spans="2:67" ht="15.75">
      <c r="B12" s="198">
        <v>2386</v>
      </c>
      <c r="C12" s="60" t="s">
        <v>18</v>
      </c>
      <c r="D12" s="204"/>
      <c r="F12" s="80">
        <v>172</v>
      </c>
      <c r="G12" s="163"/>
      <c r="H12" s="164">
        <v>-1</v>
      </c>
      <c r="I12" s="94">
        <f t="shared" si="0"/>
        <v>171</v>
      </c>
      <c r="J12" s="103"/>
      <c r="K12" s="80">
        <v>604274.56318744505</v>
      </c>
      <c r="L12" s="163"/>
      <c r="M12" s="163"/>
      <c r="N12" s="94">
        <f t="shared" si="1"/>
        <v>604274.56318744505</v>
      </c>
      <c r="O12" s="103"/>
      <c r="P12" s="80">
        <f>P$76*'TABLE 4 - October 2016 Dataset'!F12</f>
        <v>469735.29</v>
      </c>
      <c r="Q12" s="160"/>
      <c r="R12" s="161"/>
      <c r="S12" s="162">
        <f t="shared" si="4"/>
        <v>469735.29</v>
      </c>
      <c r="T12" s="165">
        <f>T$76*'TABLE 4 - October 2016 Dataset'!I12</f>
        <v>1319.9999999999993</v>
      </c>
      <c r="U12" s="165">
        <f>U$76*'TABLE 4 - October 2016 Dataset'!J12</f>
        <v>3101.0403190075303</v>
      </c>
      <c r="V12" s="165">
        <f>V$76*'TABLE 4 - October 2016 Dataset'!K12</f>
        <v>0</v>
      </c>
      <c r="W12" s="165">
        <f>W$76*'TABLE 4 - October 2016 Dataset'!L12</f>
        <v>0</v>
      </c>
      <c r="X12" s="165">
        <f>X$76*'TABLE 4 - October 2016 Dataset'!M12</f>
        <v>0</v>
      </c>
      <c r="Y12" s="165">
        <f>Y$76*'TABLE 4 - October 2016 Dataset'!N12</f>
        <v>0</v>
      </c>
      <c r="Z12" s="165">
        <f>Z$76*'TABLE 4 - October 2016 Dataset'!O12</f>
        <v>0</v>
      </c>
      <c r="AA12" s="165">
        <f>AA$76*'TABLE 4 - October 2016 Dataset'!P12</f>
        <v>399.99999999999869</v>
      </c>
      <c r="AB12" s="162">
        <f t="shared" si="5"/>
        <v>4821.0403190075285</v>
      </c>
      <c r="AC12" s="140">
        <f>AC$76*'TABLE 4 - October 2016 Dataset'!Q12</f>
        <v>35910</v>
      </c>
      <c r="AD12" s="140">
        <f>AD$76*'TABLE 4 - October 2016 Dataset'!R12</f>
        <v>2773.7007874015758</v>
      </c>
      <c r="AE12" s="140">
        <f>AE$76*'TABLE 4 - October 2016 Dataset'!S12</f>
        <v>0</v>
      </c>
      <c r="AF12" s="140">
        <f t="shared" si="6"/>
        <v>110000</v>
      </c>
      <c r="AG12" s="140">
        <f>IF('TABLE 4 - October 2016 Dataset'!X12="No",0,"*CHECK*")</f>
        <v>0</v>
      </c>
      <c r="AH12" s="140">
        <f>'TABLE 4 - October 2016 Dataset'!Y12</f>
        <v>9524.5499999999993</v>
      </c>
      <c r="AI12" s="170">
        <f>IF('TABLE 4 - October 2016 Dataset'!Z12&gt;0,('TABLE 4 - October 2016 Dataset'!Z12*(1+'TABLE 1 - 2018-19 Provisional'!AI$79)*(1+AI$79))-((AI$76*SUM('TABLE 4 - October 2016 Dataset'!F12:H12))+AI$77),0)</f>
        <v>0</v>
      </c>
      <c r="AJ12" s="166" t="str">
        <f>IF('TABLE 4 - October 2016 Dataset'!AA12="Yes",'TABLE 3 - Target Illustrative'!AJ$76*SUM('TABLE 4 - October 2016 Dataset'!F12:H12),"")</f>
        <v/>
      </c>
      <c r="AK12" s="140">
        <f t="shared" si="7"/>
        <v>0</v>
      </c>
      <c r="AL12" s="94">
        <f t="shared" si="8"/>
        <v>632764.5811064092</v>
      </c>
      <c r="AM12" s="103"/>
      <c r="AN12" s="80">
        <f t="shared" si="2"/>
        <v>623240.03110640915</v>
      </c>
      <c r="AO12" s="165">
        <f>AN12/SUM('TABLE 4 - October 2016 Dataset'!F12:H12)</f>
        <v>3644.6785444819247</v>
      </c>
      <c r="AP12" s="165">
        <f t="shared" si="3"/>
        <v>0</v>
      </c>
      <c r="AQ12" s="165">
        <f>AP12*SUM('TABLE 4 - October 2016 Dataset'!F12:H12)</f>
        <v>0</v>
      </c>
      <c r="AR12" s="94">
        <f t="shared" si="9"/>
        <v>632764.5811064092</v>
      </c>
      <c r="AS12" s="103"/>
      <c r="AT12" s="80">
        <f>N12-(AF12+AG12+'TABLE 4 - October 2016 Dataset'!Y12)</f>
        <v>484750.01318744506</v>
      </c>
      <c r="AU12" s="187">
        <f t="shared" si="10"/>
        <v>513240.03110640921</v>
      </c>
      <c r="AV12" s="165">
        <f t="shared" si="11"/>
        <v>2834.7953987569886</v>
      </c>
      <c r="AW12" s="165">
        <f>AU12/SUM('TABLE 4 - October 2016 Dataset'!F12:H12)</f>
        <v>3001.4036906807555</v>
      </c>
      <c r="AX12" s="173">
        <f t="shared" si="12"/>
        <v>5.8772598543380683E-2</v>
      </c>
      <c r="AY12" s="173">
        <f t="shared" si="13"/>
        <v>0</v>
      </c>
      <c r="AZ12" s="175">
        <f t="shared" si="14"/>
        <v>0</v>
      </c>
      <c r="BA12" s="165">
        <f t="shared" si="15"/>
        <v>0</v>
      </c>
      <c r="BB12" s="94">
        <f t="shared" si="16"/>
        <v>632764.5811064092</v>
      </c>
      <c r="BC12" s="103"/>
      <c r="BD12" s="80">
        <f t="shared" si="17"/>
        <v>604274.56318744505</v>
      </c>
      <c r="BE12" s="122">
        <f t="shared" si="18"/>
        <v>3533.7693753651756</v>
      </c>
      <c r="BF12" s="264">
        <f t="shared" si="19"/>
        <v>632764.5811064092</v>
      </c>
      <c r="BG12" s="81">
        <f>BF12/SUM('TABLE 4 - October 2016 Dataset'!F12:H12)</f>
        <v>3700.3776672889426</v>
      </c>
      <c r="BH12" s="264">
        <f t="shared" si="20"/>
        <v>28490.017918964149</v>
      </c>
      <c r="BI12" s="81">
        <f t="shared" si="20"/>
        <v>166.60829192376696</v>
      </c>
      <c r="BJ12" s="269">
        <f t="shared" si="21"/>
        <v>4.7147471786143327E-2</v>
      </c>
      <c r="BK12" s="103"/>
      <c r="BL12" s="80">
        <f>'TABLE 5 - DfE Published Figures'!T11</f>
        <v>633000</v>
      </c>
      <c r="BM12" s="84">
        <f t="shared" si="22"/>
        <v>0</v>
      </c>
      <c r="BO12" s="103"/>
    </row>
    <row r="13" spans="2:67" ht="15.75">
      <c r="B13" s="198">
        <v>2024</v>
      </c>
      <c r="C13" s="60" t="s">
        <v>19</v>
      </c>
      <c r="D13" s="204" t="s">
        <v>71</v>
      </c>
      <c r="F13" s="80">
        <v>160</v>
      </c>
      <c r="G13" s="163"/>
      <c r="H13" s="164">
        <v>0</v>
      </c>
      <c r="I13" s="94">
        <f t="shared" si="0"/>
        <v>160</v>
      </c>
      <c r="J13" s="103"/>
      <c r="K13" s="80">
        <v>711734.16529969336</v>
      </c>
      <c r="L13" s="163"/>
      <c r="M13" s="163"/>
      <c r="N13" s="94">
        <f t="shared" si="1"/>
        <v>711734.16529969336</v>
      </c>
      <c r="O13" s="103"/>
      <c r="P13" s="80">
        <f>P$76*'TABLE 4 - October 2016 Dataset'!F13</f>
        <v>439518.39999999997</v>
      </c>
      <c r="Q13" s="160"/>
      <c r="R13" s="161"/>
      <c r="S13" s="162">
        <f t="shared" si="4"/>
        <v>439518.39999999997</v>
      </c>
      <c r="T13" s="165">
        <f>T$76*'TABLE 4 - October 2016 Dataset'!I13</f>
        <v>14080</v>
      </c>
      <c r="U13" s="165">
        <f>U$76*'TABLE 4 - October 2016 Dataset'!J13</f>
        <v>40984.615384615383</v>
      </c>
      <c r="V13" s="165">
        <f>V$76*'TABLE 4 - October 2016 Dataset'!K13</f>
        <v>0</v>
      </c>
      <c r="W13" s="165">
        <f>W$76*'TABLE 4 - October 2016 Dataset'!L13</f>
        <v>18900</v>
      </c>
      <c r="X13" s="165">
        <f>X$76*'TABLE 4 - October 2016 Dataset'!M13</f>
        <v>1560</v>
      </c>
      <c r="Y13" s="165">
        <f>Y$76*'TABLE 4 - October 2016 Dataset'!N13</f>
        <v>15120</v>
      </c>
      <c r="Z13" s="165">
        <f>Z$76*'TABLE 4 - October 2016 Dataset'!O13</f>
        <v>0</v>
      </c>
      <c r="AA13" s="165">
        <f>AA$76*'TABLE 4 - October 2016 Dataset'!P13</f>
        <v>11600</v>
      </c>
      <c r="AB13" s="162">
        <f t="shared" si="5"/>
        <v>102244.61538461538</v>
      </c>
      <c r="AC13" s="140">
        <f>AC$76*'TABLE 4 - October 2016 Dataset'!Q13</f>
        <v>70121.292543194199</v>
      </c>
      <c r="AD13" s="140">
        <f>AD$76*'TABLE 4 - October 2016 Dataset'!R13</f>
        <v>6338.4615384615363</v>
      </c>
      <c r="AE13" s="140">
        <f>AE$76*'TABLE 4 - October 2016 Dataset'!S13</f>
        <v>710.99999999999909</v>
      </c>
      <c r="AF13" s="140">
        <f t="shared" si="6"/>
        <v>110000</v>
      </c>
      <c r="AG13" s="140">
        <f>IF('TABLE 4 - October 2016 Dataset'!X13="No",0,"*CHECK*")</f>
        <v>0</v>
      </c>
      <c r="AH13" s="140">
        <f>'TABLE 4 - October 2016 Dataset'!Y13</f>
        <v>4406.88</v>
      </c>
      <c r="AI13" s="170">
        <f>IF('TABLE 4 - October 2016 Dataset'!Z13&gt;0,('TABLE 4 - October 2016 Dataset'!Z13*(1+'TABLE 1 - 2018-19 Provisional'!AI$79)*(1+AI$79))-((AI$76*SUM('TABLE 4 - October 2016 Dataset'!F13:H13))+AI$77),0)</f>
        <v>0</v>
      </c>
      <c r="AJ13" s="166" t="str">
        <f>IF('TABLE 4 - October 2016 Dataset'!AA13="Yes",'TABLE 3 - Target Illustrative'!AJ$76*SUM('TABLE 4 - October 2016 Dataset'!F13:H13),"")</f>
        <v/>
      </c>
      <c r="AK13" s="140">
        <f t="shared" si="7"/>
        <v>0</v>
      </c>
      <c r="AL13" s="94">
        <f t="shared" si="8"/>
        <v>733340.64946627116</v>
      </c>
      <c r="AM13" s="103"/>
      <c r="AN13" s="80">
        <f t="shared" si="2"/>
        <v>728933.76946627116</v>
      </c>
      <c r="AO13" s="165">
        <f>AN13/SUM('TABLE 4 - October 2016 Dataset'!F13:H13)</f>
        <v>4555.8360591641949</v>
      </c>
      <c r="AP13" s="165">
        <f t="shared" si="3"/>
        <v>0</v>
      </c>
      <c r="AQ13" s="165">
        <f>AP13*SUM('TABLE 4 - October 2016 Dataset'!F13:H13)</f>
        <v>0</v>
      </c>
      <c r="AR13" s="94">
        <f t="shared" si="9"/>
        <v>733340.64946627116</v>
      </c>
      <c r="AS13" s="103"/>
      <c r="AT13" s="80">
        <f>N13-(AF13+AG13+'TABLE 4 - October 2016 Dataset'!Y13)</f>
        <v>597327.28529969335</v>
      </c>
      <c r="AU13" s="187">
        <f t="shared" si="10"/>
        <v>618933.76946627116</v>
      </c>
      <c r="AV13" s="165">
        <f t="shared" si="11"/>
        <v>3733.2955331230833</v>
      </c>
      <c r="AW13" s="165">
        <f>AU13/SUM('TABLE 4 - October 2016 Dataset'!F13:H13)</f>
        <v>3868.3360591641949</v>
      </c>
      <c r="AX13" s="173">
        <f t="shared" si="12"/>
        <v>3.6171935718184001E-2</v>
      </c>
      <c r="AY13" s="173">
        <f t="shared" si="13"/>
        <v>0</v>
      </c>
      <c r="AZ13" s="175">
        <f t="shared" si="14"/>
        <v>0</v>
      </c>
      <c r="BA13" s="165">
        <f t="shared" si="15"/>
        <v>0</v>
      </c>
      <c r="BB13" s="94">
        <f t="shared" si="16"/>
        <v>733340.64946627116</v>
      </c>
      <c r="BC13" s="103"/>
      <c r="BD13" s="80">
        <f t="shared" si="17"/>
        <v>711734.16529969336</v>
      </c>
      <c r="BE13" s="122">
        <f t="shared" si="18"/>
        <v>4448.3385331230838</v>
      </c>
      <c r="BF13" s="264">
        <f t="shared" si="19"/>
        <v>733340.64946627116</v>
      </c>
      <c r="BG13" s="81">
        <f>BF13/SUM('TABLE 4 - October 2016 Dataset'!F13:H13)</f>
        <v>4583.3790591641946</v>
      </c>
      <c r="BH13" s="264">
        <f t="shared" si="20"/>
        <v>21606.484166577808</v>
      </c>
      <c r="BI13" s="81">
        <f t="shared" si="20"/>
        <v>135.04052604111075</v>
      </c>
      <c r="BJ13" s="269">
        <f t="shared" si="21"/>
        <v>3.0357520012376772E-2</v>
      </c>
      <c r="BK13" s="103"/>
      <c r="BL13" s="80">
        <f>'TABLE 5 - DfE Published Figures'!T12</f>
        <v>729000</v>
      </c>
      <c r="BM13" s="84">
        <f t="shared" si="22"/>
        <v>4000</v>
      </c>
      <c r="BO13" s="103"/>
    </row>
    <row r="14" spans="2:67" ht="15.75">
      <c r="B14" s="198">
        <v>2003</v>
      </c>
      <c r="C14" s="60" t="s">
        <v>20</v>
      </c>
      <c r="D14" s="204"/>
      <c r="F14" s="80">
        <v>250</v>
      </c>
      <c r="G14" s="163"/>
      <c r="H14" s="164">
        <v>0</v>
      </c>
      <c r="I14" s="94">
        <f t="shared" si="0"/>
        <v>250</v>
      </c>
      <c r="J14" s="103"/>
      <c r="K14" s="80">
        <v>914801.89983965154</v>
      </c>
      <c r="L14" s="163"/>
      <c r="M14" s="163"/>
      <c r="N14" s="94">
        <f t="shared" si="1"/>
        <v>914801.89983965154</v>
      </c>
      <c r="O14" s="103"/>
      <c r="P14" s="80">
        <f>P$76*'TABLE 4 - October 2016 Dataset'!F14</f>
        <v>686747.5</v>
      </c>
      <c r="Q14" s="160"/>
      <c r="R14" s="161"/>
      <c r="S14" s="162">
        <f t="shared" si="4"/>
        <v>686747.5</v>
      </c>
      <c r="T14" s="165">
        <f>T$76*'TABLE 4 - October 2016 Dataset'!I14</f>
        <v>11880</v>
      </c>
      <c r="U14" s="165">
        <f>U$76*'TABLE 4 - October 2016 Dataset'!J14</f>
        <v>25418.410041841002</v>
      </c>
      <c r="V14" s="165">
        <f>V$76*'TABLE 4 - October 2016 Dataset'!K14</f>
        <v>0</v>
      </c>
      <c r="W14" s="165">
        <f>W$76*'TABLE 4 - October 2016 Dataset'!L14</f>
        <v>421.68674698795155</v>
      </c>
      <c r="X14" s="165">
        <f>X$76*'TABLE 4 - October 2016 Dataset'!M14</f>
        <v>24277.108433734942</v>
      </c>
      <c r="Y14" s="165">
        <f>Y$76*'TABLE 4 - October 2016 Dataset'!N14</f>
        <v>4337.3493975903657</v>
      </c>
      <c r="Z14" s="165">
        <f>Z$76*'TABLE 4 - October 2016 Dataset'!O14</f>
        <v>0</v>
      </c>
      <c r="AA14" s="165">
        <f>AA$76*'TABLE 4 - October 2016 Dataset'!P14</f>
        <v>1405.6224899598399</v>
      </c>
      <c r="AB14" s="162">
        <f t="shared" si="5"/>
        <v>67740.177110114106</v>
      </c>
      <c r="AC14" s="140">
        <f>AC$76*'TABLE 4 - October 2016 Dataset'!Q14</f>
        <v>77594.339622641623</v>
      </c>
      <c r="AD14" s="140">
        <f>AD$76*'TABLE 4 - October 2016 Dataset'!R14</f>
        <v>5563.2716049382752</v>
      </c>
      <c r="AE14" s="140">
        <f>AE$76*'TABLE 4 - October 2016 Dataset'!S14</f>
        <v>0</v>
      </c>
      <c r="AF14" s="140">
        <f t="shared" si="6"/>
        <v>110000</v>
      </c>
      <c r="AG14" s="140">
        <f>IF('TABLE 4 - October 2016 Dataset'!X14="No",0,"*CHECK*")</f>
        <v>0</v>
      </c>
      <c r="AH14" s="140">
        <f>'TABLE 4 - October 2016 Dataset'!Y14</f>
        <v>10803.97</v>
      </c>
      <c r="AI14" s="170">
        <f>IF('TABLE 4 - October 2016 Dataset'!Z14&gt;0,('TABLE 4 - October 2016 Dataset'!Z14*(1+'TABLE 1 - 2018-19 Provisional'!AI$79)*(1+AI$79))-((AI$76*SUM('TABLE 4 - October 2016 Dataset'!F14:H14))+AI$77),0)</f>
        <v>0</v>
      </c>
      <c r="AJ14" s="166" t="str">
        <f>IF('TABLE 4 - October 2016 Dataset'!AA14="Yes",'TABLE 3 - Target Illustrative'!AJ$76*SUM('TABLE 4 - October 2016 Dataset'!F14:H14),"")</f>
        <v/>
      </c>
      <c r="AK14" s="140">
        <f t="shared" si="7"/>
        <v>0</v>
      </c>
      <c r="AL14" s="94">
        <f t="shared" si="8"/>
        <v>958449.2583376941</v>
      </c>
      <c r="AM14" s="103"/>
      <c r="AN14" s="80">
        <f t="shared" si="2"/>
        <v>947645.28833769413</v>
      </c>
      <c r="AO14" s="165">
        <f>AN14/SUM('TABLE 4 - October 2016 Dataset'!F14:H14)</f>
        <v>3790.5811533507767</v>
      </c>
      <c r="AP14" s="165">
        <f t="shared" si="3"/>
        <v>0</v>
      </c>
      <c r="AQ14" s="165">
        <f>AP14*SUM('TABLE 4 - October 2016 Dataset'!F14:H14)</f>
        <v>0</v>
      </c>
      <c r="AR14" s="94">
        <f t="shared" si="9"/>
        <v>958449.2583376941</v>
      </c>
      <c r="AS14" s="103"/>
      <c r="AT14" s="80">
        <f>N14-(AF14+AG14+'TABLE 4 - October 2016 Dataset'!Y14)</f>
        <v>793997.92983965157</v>
      </c>
      <c r="AU14" s="187">
        <f t="shared" si="10"/>
        <v>837645.28833769413</v>
      </c>
      <c r="AV14" s="165">
        <f t="shared" si="11"/>
        <v>3175.9917193586061</v>
      </c>
      <c r="AW14" s="165">
        <f>AU14/SUM('TABLE 4 - October 2016 Dataset'!F14:H14)</f>
        <v>3350.5811533507767</v>
      </c>
      <c r="AX14" s="173">
        <f t="shared" si="12"/>
        <v>5.4971627579504245E-2</v>
      </c>
      <c r="AY14" s="173">
        <f t="shared" si="13"/>
        <v>0</v>
      </c>
      <c r="AZ14" s="175">
        <f t="shared" si="14"/>
        <v>0</v>
      </c>
      <c r="BA14" s="165">
        <f t="shared" si="15"/>
        <v>0</v>
      </c>
      <c r="BB14" s="94">
        <f t="shared" si="16"/>
        <v>958449.2583376941</v>
      </c>
      <c r="BC14" s="103"/>
      <c r="BD14" s="80">
        <f t="shared" si="17"/>
        <v>914801.89983965154</v>
      </c>
      <c r="BE14" s="122">
        <f t="shared" si="18"/>
        <v>3659.2075993586063</v>
      </c>
      <c r="BF14" s="264">
        <f t="shared" si="19"/>
        <v>958449.2583376941</v>
      </c>
      <c r="BG14" s="81">
        <f>BF14/SUM('TABLE 4 - October 2016 Dataset'!F14:H14)</f>
        <v>3833.7970333507765</v>
      </c>
      <c r="BH14" s="264">
        <f t="shared" si="20"/>
        <v>43647.358498042566</v>
      </c>
      <c r="BI14" s="81">
        <f t="shared" si="20"/>
        <v>174.58943399217014</v>
      </c>
      <c r="BJ14" s="269">
        <f t="shared" si="21"/>
        <v>4.7712361010283359E-2</v>
      </c>
      <c r="BK14" s="103"/>
      <c r="BL14" s="80">
        <f>'TABLE 5 - DfE Published Figures'!T13</f>
        <v>958000</v>
      </c>
      <c r="BM14" s="84">
        <f t="shared" si="22"/>
        <v>0</v>
      </c>
      <c r="BO14" s="103"/>
    </row>
    <row r="15" spans="2:67" ht="15.75">
      <c r="B15" s="198">
        <v>2002</v>
      </c>
      <c r="C15" s="60" t="s">
        <v>21</v>
      </c>
      <c r="D15" s="204"/>
      <c r="F15" s="80">
        <v>281</v>
      </c>
      <c r="G15" s="163"/>
      <c r="H15" s="164">
        <v>0</v>
      </c>
      <c r="I15" s="94">
        <f t="shared" si="0"/>
        <v>281</v>
      </c>
      <c r="J15" s="103"/>
      <c r="K15" s="80">
        <v>1035455.2254848443</v>
      </c>
      <c r="L15" s="163"/>
      <c r="M15" s="163"/>
      <c r="N15" s="94">
        <f t="shared" si="1"/>
        <v>1035455.2254848443</v>
      </c>
      <c r="O15" s="103"/>
      <c r="P15" s="80">
        <f>P$76*'TABLE 4 - October 2016 Dataset'!F15</f>
        <v>771904.19</v>
      </c>
      <c r="Q15" s="160"/>
      <c r="R15" s="161"/>
      <c r="S15" s="162">
        <f t="shared" si="4"/>
        <v>771904.19</v>
      </c>
      <c r="T15" s="165">
        <f>T$76*'TABLE 4 - October 2016 Dataset'!I15</f>
        <v>21119.999999999964</v>
      </c>
      <c r="U15" s="165">
        <f>U$76*'TABLE 4 - October 2016 Dataset'!J15</f>
        <v>45235.698113207545</v>
      </c>
      <c r="V15" s="165">
        <f>V$76*'TABLE 4 - October 2016 Dataset'!K15</f>
        <v>0</v>
      </c>
      <c r="W15" s="165">
        <f>W$76*'TABLE 4 - October 2016 Dataset'!L15</f>
        <v>423.01075268817158</v>
      </c>
      <c r="X15" s="165">
        <f>X$76*'TABLE 4 - October 2016 Dataset'!M15</f>
        <v>31816.451612903191</v>
      </c>
      <c r="Y15" s="165">
        <f>Y$76*'TABLE 4 - October 2016 Dataset'!N15</f>
        <v>4713.5483870967691</v>
      </c>
      <c r="Z15" s="165">
        <f>Z$76*'TABLE 4 - October 2016 Dataset'!O15</f>
        <v>241.72043010752662</v>
      </c>
      <c r="AA15" s="165">
        <f>AA$76*'TABLE 4 - October 2016 Dataset'!P15</f>
        <v>2014.3369175627222</v>
      </c>
      <c r="AB15" s="162">
        <f t="shared" si="5"/>
        <v>105564.76621356589</v>
      </c>
      <c r="AC15" s="140">
        <f>AC$76*'TABLE 4 - October 2016 Dataset'!Q15</f>
        <v>108289.45312499996</v>
      </c>
      <c r="AD15" s="140">
        <f>AD$76*'TABLE 4 - October 2016 Dataset'!R15</f>
        <v>3605.0000000000068</v>
      </c>
      <c r="AE15" s="140">
        <f>AE$76*'TABLE 4 - October 2016 Dataset'!S15</f>
        <v>0</v>
      </c>
      <c r="AF15" s="140">
        <f t="shared" si="6"/>
        <v>110000</v>
      </c>
      <c r="AG15" s="140">
        <f>IF('TABLE 4 - October 2016 Dataset'!X15="No",0,"*CHECK*")</f>
        <v>0</v>
      </c>
      <c r="AH15" s="140">
        <f>'TABLE 4 - October 2016 Dataset'!Y15</f>
        <v>13136.38</v>
      </c>
      <c r="AI15" s="170">
        <f>IF('TABLE 4 - October 2016 Dataset'!Z15&gt;0,('TABLE 4 - October 2016 Dataset'!Z15*(1+'TABLE 1 - 2018-19 Provisional'!AI$79)*(1+AI$79))-((AI$76*SUM('TABLE 4 - October 2016 Dataset'!F15:H15))+AI$77),0)</f>
        <v>0</v>
      </c>
      <c r="AJ15" s="166" t="str">
        <f>IF('TABLE 4 - October 2016 Dataset'!AA15="Yes",'TABLE 3 - Target Illustrative'!AJ$76*SUM('TABLE 4 - October 2016 Dataset'!F15:H15),"")</f>
        <v/>
      </c>
      <c r="AK15" s="140">
        <f t="shared" si="7"/>
        <v>0</v>
      </c>
      <c r="AL15" s="94">
        <f t="shared" si="8"/>
        <v>1112499.7893385657</v>
      </c>
      <c r="AM15" s="103"/>
      <c r="AN15" s="80">
        <f t="shared" si="2"/>
        <v>1099363.4093385658</v>
      </c>
      <c r="AO15" s="165">
        <f>AN15/SUM('TABLE 4 - October 2016 Dataset'!F15:H15)</f>
        <v>3912.3253001372445</v>
      </c>
      <c r="AP15" s="165">
        <f t="shared" si="3"/>
        <v>0</v>
      </c>
      <c r="AQ15" s="165">
        <f>AP15*SUM('TABLE 4 - October 2016 Dataset'!F15:H15)</f>
        <v>0</v>
      </c>
      <c r="AR15" s="94">
        <f t="shared" si="9"/>
        <v>1112499.7893385657</v>
      </c>
      <c r="AS15" s="103"/>
      <c r="AT15" s="80">
        <f>N15-(AF15+AG15+'TABLE 4 - October 2016 Dataset'!Y15)</f>
        <v>912318.84548484429</v>
      </c>
      <c r="AU15" s="187">
        <f t="shared" si="10"/>
        <v>989363.40933856566</v>
      </c>
      <c r="AV15" s="165">
        <f t="shared" si="11"/>
        <v>3246.6862828642147</v>
      </c>
      <c r="AW15" s="165">
        <f>AU15/SUM('TABLE 4 - October 2016 Dataset'!F15:H15)</f>
        <v>3520.8662254041483</v>
      </c>
      <c r="AX15" s="173">
        <f t="shared" si="12"/>
        <v>8.4449164055990344E-2</v>
      </c>
      <c r="AY15" s="173">
        <f t="shared" si="13"/>
        <v>0</v>
      </c>
      <c r="AZ15" s="175">
        <f t="shared" si="14"/>
        <v>0</v>
      </c>
      <c r="BA15" s="165">
        <f t="shared" si="15"/>
        <v>0</v>
      </c>
      <c r="BB15" s="94">
        <f t="shared" si="16"/>
        <v>1112499.7893385657</v>
      </c>
      <c r="BC15" s="103"/>
      <c r="BD15" s="80">
        <f t="shared" si="17"/>
        <v>1035455.2254848443</v>
      </c>
      <c r="BE15" s="122">
        <f t="shared" si="18"/>
        <v>3684.894040871332</v>
      </c>
      <c r="BF15" s="264">
        <f t="shared" si="19"/>
        <v>1112499.7893385657</v>
      </c>
      <c r="BG15" s="81">
        <f>BF15/SUM('TABLE 4 - October 2016 Dataset'!F15:H15)</f>
        <v>3959.0739834112655</v>
      </c>
      <c r="BH15" s="264">
        <f t="shared" si="20"/>
        <v>77044.563853721367</v>
      </c>
      <c r="BI15" s="81">
        <f t="shared" si="20"/>
        <v>274.17994253993356</v>
      </c>
      <c r="BJ15" s="269">
        <f t="shared" si="21"/>
        <v>7.4406465830181873E-2</v>
      </c>
      <c r="BK15" s="103"/>
      <c r="BL15" s="80">
        <f>'TABLE 5 - DfE Published Figures'!T14</f>
        <v>1112000</v>
      </c>
      <c r="BM15" s="84">
        <f t="shared" si="22"/>
        <v>0</v>
      </c>
      <c r="BO15" s="103"/>
    </row>
    <row r="16" spans="2:67" ht="15.75">
      <c r="B16" s="198">
        <v>2018</v>
      </c>
      <c r="C16" s="60" t="s">
        <v>22</v>
      </c>
      <c r="D16" s="204"/>
      <c r="F16" s="80">
        <v>390</v>
      </c>
      <c r="G16" s="163"/>
      <c r="H16" s="164">
        <v>-4</v>
      </c>
      <c r="I16" s="94">
        <f t="shared" si="0"/>
        <v>386</v>
      </c>
      <c r="J16" s="103"/>
      <c r="K16" s="80">
        <v>1456683.3905668238</v>
      </c>
      <c r="L16" s="163"/>
      <c r="M16" s="163"/>
      <c r="N16" s="94">
        <f t="shared" si="1"/>
        <v>1456683.3905668238</v>
      </c>
      <c r="O16" s="103"/>
      <c r="P16" s="80">
        <f>P$76*'TABLE 4 - October 2016 Dataset'!F16</f>
        <v>1060338.1399999999</v>
      </c>
      <c r="Q16" s="160"/>
      <c r="R16" s="161"/>
      <c r="S16" s="162">
        <f t="shared" si="4"/>
        <v>1060338.1399999999</v>
      </c>
      <c r="T16" s="165">
        <f>T$76*'TABLE 4 - October 2016 Dataset'!I16</f>
        <v>36519.999999999949</v>
      </c>
      <c r="U16" s="165">
        <f>U$76*'TABLE 4 - October 2016 Dataset'!J16</f>
        <v>76409.272237196768</v>
      </c>
      <c r="V16" s="165">
        <f>V$76*'TABLE 4 - October 2016 Dataset'!K16</f>
        <v>0</v>
      </c>
      <c r="W16" s="165">
        <f>W$76*'TABLE 4 - October 2016 Dataset'!L16</f>
        <v>51506.874999999942</v>
      </c>
      <c r="X16" s="165">
        <f>X$76*'TABLE 4 - October 2016 Dataset'!M16</f>
        <v>1568.125000000005</v>
      </c>
      <c r="Y16" s="165">
        <f>Y$76*'TABLE 4 - October 2016 Dataset'!N16</f>
        <v>29673.750000000044</v>
      </c>
      <c r="Z16" s="165">
        <f>Z$76*'TABLE 4 - October 2016 Dataset'!O16</f>
        <v>0</v>
      </c>
      <c r="AA16" s="165">
        <f>AA$76*'TABLE 4 - October 2016 Dataset'!P16</f>
        <v>10454.166666666692</v>
      </c>
      <c r="AB16" s="162">
        <f t="shared" si="5"/>
        <v>206132.18890386337</v>
      </c>
      <c r="AC16" s="140">
        <f>AC$76*'TABLE 4 - October 2016 Dataset'!Q16</f>
        <v>169213.45479617181</v>
      </c>
      <c r="AD16" s="140">
        <f>AD$76*'TABLE 4 - October 2016 Dataset'!R16</f>
        <v>22415.489614243332</v>
      </c>
      <c r="AE16" s="140">
        <f>AE$76*'TABLE 4 - October 2016 Dataset'!S16</f>
        <v>10949.400000000051</v>
      </c>
      <c r="AF16" s="140">
        <f t="shared" si="6"/>
        <v>110000</v>
      </c>
      <c r="AG16" s="140">
        <f>IF('TABLE 4 - October 2016 Dataset'!X16="No",0,"*CHECK*")</f>
        <v>0</v>
      </c>
      <c r="AH16" s="140">
        <f>'TABLE 4 - October 2016 Dataset'!Y16</f>
        <v>18764.79</v>
      </c>
      <c r="AI16" s="170">
        <f>IF('TABLE 4 - October 2016 Dataset'!Z16&gt;0,('TABLE 4 - October 2016 Dataset'!Z16*(1+'TABLE 1 - 2018-19 Provisional'!AI$79)*(1+AI$79))-((AI$76*SUM('TABLE 4 - October 2016 Dataset'!F16:H16))+AI$77),0)</f>
        <v>0</v>
      </c>
      <c r="AJ16" s="166" t="str">
        <f>IF('TABLE 4 - October 2016 Dataset'!AA16="Yes",'TABLE 3 - Target Illustrative'!AJ$76*SUM('TABLE 4 - October 2016 Dataset'!F16:H16),"")</f>
        <v/>
      </c>
      <c r="AK16" s="140">
        <f t="shared" si="7"/>
        <v>0</v>
      </c>
      <c r="AL16" s="94">
        <f t="shared" si="8"/>
        <v>1597813.4633142785</v>
      </c>
      <c r="AM16" s="103"/>
      <c r="AN16" s="80">
        <f t="shared" si="2"/>
        <v>1579048.6733142785</v>
      </c>
      <c r="AO16" s="165">
        <f>AN16/SUM('TABLE 4 - October 2016 Dataset'!F16:H16)</f>
        <v>4090.7996717986489</v>
      </c>
      <c r="AP16" s="165">
        <f t="shared" si="3"/>
        <v>0</v>
      </c>
      <c r="AQ16" s="165">
        <f>AP16*SUM('TABLE 4 - October 2016 Dataset'!F16:H16)</f>
        <v>0</v>
      </c>
      <c r="AR16" s="94">
        <f t="shared" si="9"/>
        <v>1597813.4633142785</v>
      </c>
      <c r="AS16" s="103"/>
      <c r="AT16" s="80">
        <f>N16-(AF16+AG16+'TABLE 4 - October 2016 Dataset'!Y16)</f>
        <v>1327918.6005668237</v>
      </c>
      <c r="AU16" s="187">
        <f t="shared" si="10"/>
        <v>1469048.6733142785</v>
      </c>
      <c r="AV16" s="165">
        <f t="shared" si="11"/>
        <v>3440.2036284114606</v>
      </c>
      <c r="AW16" s="165">
        <f>AU16/SUM('TABLE 4 - October 2016 Dataset'!F16:H16)</f>
        <v>3805.8255785344004</v>
      </c>
      <c r="AX16" s="173">
        <f t="shared" si="12"/>
        <v>0.10627915949608147</v>
      </c>
      <c r="AY16" s="173">
        <f t="shared" si="13"/>
        <v>0</v>
      </c>
      <c r="AZ16" s="175">
        <f t="shared" si="14"/>
        <v>0</v>
      </c>
      <c r="BA16" s="165">
        <f t="shared" si="15"/>
        <v>0</v>
      </c>
      <c r="BB16" s="94">
        <f t="shared" si="16"/>
        <v>1597813.4633142785</v>
      </c>
      <c r="BC16" s="103"/>
      <c r="BD16" s="80">
        <f t="shared" si="17"/>
        <v>1456683.3905668238</v>
      </c>
      <c r="BE16" s="122">
        <f t="shared" si="18"/>
        <v>3773.7911672715641</v>
      </c>
      <c r="BF16" s="264">
        <f t="shared" si="19"/>
        <v>1597813.4633142785</v>
      </c>
      <c r="BG16" s="81">
        <f>BF16/SUM('TABLE 4 - October 2016 Dataset'!F16:H16)</f>
        <v>4139.4131173945043</v>
      </c>
      <c r="BH16" s="264">
        <f t="shared" si="20"/>
        <v>141130.07274745475</v>
      </c>
      <c r="BI16" s="81">
        <f t="shared" si="20"/>
        <v>365.62195012294023</v>
      </c>
      <c r="BJ16" s="269">
        <f t="shared" si="21"/>
        <v>9.6884521139860388E-2</v>
      </c>
      <c r="BK16" s="103"/>
      <c r="BL16" s="80">
        <f>'TABLE 5 - DfE Published Figures'!T15</f>
        <v>1598000</v>
      </c>
      <c r="BM16" s="84">
        <f t="shared" si="22"/>
        <v>0</v>
      </c>
      <c r="BO16" s="103"/>
    </row>
    <row r="17" spans="2:67" ht="15.75">
      <c r="B17" s="198">
        <v>2430</v>
      </c>
      <c r="C17" s="60" t="s">
        <v>23</v>
      </c>
      <c r="D17" s="204" t="s">
        <v>70</v>
      </c>
      <c r="F17" s="80">
        <v>603</v>
      </c>
      <c r="G17" s="163"/>
      <c r="H17" s="164">
        <v>0</v>
      </c>
      <c r="I17" s="94">
        <f t="shared" si="0"/>
        <v>603</v>
      </c>
      <c r="J17" s="103"/>
      <c r="K17" s="80">
        <v>1838675.8178809343</v>
      </c>
      <c r="L17" s="163"/>
      <c r="M17" s="163"/>
      <c r="N17" s="94">
        <f t="shared" si="1"/>
        <v>1838675.8178809343</v>
      </c>
      <c r="O17" s="103"/>
      <c r="P17" s="80">
        <f>P$76*'TABLE 4 - October 2016 Dataset'!F17</f>
        <v>1656434.97</v>
      </c>
      <c r="Q17" s="160"/>
      <c r="R17" s="161"/>
      <c r="S17" s="162">
        <f t="shared" si="4"/>
        <v>1656434.97</v>
      </c>
      <c r="T17" s="165">
        <f>T$76*'TABLE 4 - October 2016 Dataset'!I17</f>
        <v>7480.0000000000091</v>
      </c>
      <c r="U17" s="165">
        <f>U$76*'TABLE 4 - October 2016 Dataset'!J17</f>
        <v>20901.283783783783</v>
      </c>
      <c r="V17" s="165">
        <f>V$76*'TABLE 4 - October 2016 Dataset'!K17</f>
        <v>0</v>
      </c>
      <c r="W17" s="165">
        <f>W$76*'TABLE 4 - October 2016 Dataset'!L17</f>
        <v>6821.8181818181729</v>
      </c>
      <c r="X17" s="165">
        <f>X$76*'TABLE 4 - October 2016 Dataset'!M17</f>
        <v>0</v>
      </c>
      <c r="Y17" s="165">
        <f>Y$76*'TABLE 4 - October 2016 Dataset'!N17</f>
        <v>5116.3636363636433</v>
      </c>
      <c r="Z17" s="165">
        <f>Z$76*'TABLE 4 - October 2016 Dataset'!O17</f>
        <v>487.27272727272771</v>
      </c>
      <c r="AA17" s="165">
        <f>AA$76*'TABLE 4 - October 2016 Dataset'!P17</f>
        <v>812.12121212121178</v>
      </c>
      <c r="AB17" s="162">
        <f t="shared" si="5"/>
        <v>41618.859541359547</v>
      </c>
      <c r="AC17" s="140">
        <f>AC$76*'TABLE 4 - October 2016 Dataset'!Q17</f>
        <v>160365.55789473688</v>
      </c>
      <c r="AD17" s="140">
        <f>AD$76*'TABLE 4 - October 2016 Dataset'!R17</f>
        <v>14556.796875</v>
      </c>
      <c r="AE17" s="140">
        <f>AE$76*'TABLE 4 - October 2016 Dataset'!S17</f>
        <v>0</v>
      </c>
      <c r="AF17" s="140">
        <f t="shared" si="6"/>
        <v>110000</v>
      </c>
      <c r="AG17" s="140">
        <f>IF('TABLE 4 - October 2016 Dataset'!X17="No",0,"*CHECK*")</f>
        <v>0</v>
      </c>
      <c r="AH17" s="140">
        <f>'TABLE 4 - October 2016 Dataset'!Y17</f>
        <v>72708.84</v>
      </c>
      <c r="AI17" s="170">
        <f>IF('TABLE 4 - October 2016 Dataset'!Z17&gt;0,('TABLE 4 - October 2016 Dataset'!Z17*(1+'TABLE 1 - 2018-19 Provisional'!AI$79)*(1+AI$79))-((AI$76*SUM('TABLE 4 - October 2016 Dataset'!F17:H17))+AI$77),0)</f>
        <v>0</v>
      </c>
      <c r="AJ17" s="166" t="str">
        <f>IF('TABLE 4 - October 2016 Dataset'!AA17="Yes",'TABLE 3 - Target Illustrative'!AJ$76*SUM('TABLE 4 - October 2016 Dataset'!F17:H17),"")</f>
        <v/>
      </c>
      <c r="AK17" s="140">
        <f t="shared" si="7"/>
        <v>0</v>
      </c>
      <c r="AL17" s="94">
        <f t="shared" si="8"/>
        <v>2055685.0243110966</v>
      </c>
      <c r="AM17" s="103"/>
      <c r="AN17" s="80">
        <f t="shared" si="2"/>
        <v>1982976.1843110966</v>
      </c>
      <c r="AO17" s="165">
        <f>AN17/SUM('TABLE 4 - October 2016 Dataset'!F17:H17)</f>
        <v>3288.5177185921998</v>
      </c>
      <c r="AP17" s="165">
        <f t="shared" si="3"/>
        <v>211.4822814078002</v>
      </c>
      <c r="AQ17" s="165">
        <f>AP17*SUM('TABLE 4 - October 2016 Dataset'!F17:H17)</f>
        <v>127523.81568890352</v>
      </c>
      <c r="AR17" s="94">
        <f t="shared" si="9"/>
        <v>2183208.8400000003</v>
      </c>
      <c r="AS17" s="103"/>
      <c r="AT17" s="80">
        <f>N17-(AF17+AG17+'TABLE 4 - October 2016 Dataset'!Y17)</f>
        <v>1655966.9778809343</v>
      </c>
      <c r="AU17" s="187">
        <f t="shared" si="10"/>
        <v>2000500.0000000002</v>
      </c>
      <c r="AV17" s="165">
        <f t="shared" si="11"/>
        <v>2746.2138936665579</v>
      </c>
      <c r="AW17" s="165">
        <f>AU17/SUM('TABLE 4 - October 2016 Dataset'!F17:H17)</f>
        <v>3317.5787728026539</v>
      </c>
      <c r="AX17" s="173">
        <f t="shared" si="12"/>
        <v>0.20805549067164919</v>
      </c>
      <c r="AY17" s="173">
        <f t="shared" si="13"/>
        <v>0</v>
      </c>
      <c r="AZ17" s="175">
        <f t="shared" si="14"/>
        <v>0</v>
      </c>
      <c r="BA17" s="165">
        <f t="shared" si="15"/>
        <v>0</v>
      </c>
      <c r="BB17" s="94">
        <f t="shared" si="16"/>
        <v>2183208.8400000003</v>
      </c>
      <c r="BC17" s="103"/>
      <c r="BD17" s="80">
        <f t="shared" si="17"/>
        <v>1838675.8178809343</v>
      </c>
      <c r="BE17" s="122">
        <f t="shared" si="18"/>
        <v>3049.2136283265909</v>
      </c>
      <c r="BF17" s="264">
        <f t="shared" si="19"/>
        <v>2183208.8400000003</v>
      </c>
      <c r="BG17" s="81">
        <f>BF17/SUM('TABLE 4 - October 2016 Dataset'!F17:H17)</f>
        <v>3620.578507462687</v>
      </c>
      <c r="BH17" s="264">
        <f t="shared" si="20"/>
        <v>344533.02211906598</v>
      </c>
      <c r="BI17" s="81">
        <f t="shared" si="20"/>
        <v>571.36487913609608</v>
      </c>
      <c r="BJ17" s="269">
        <f t="shared" si="21"/>
        <v>0.18738105911249689</v>
      </c>
      <c r="BK17" s="103"/>
      <c r="BL17" s="80">
        <f>'TABLE 5 - DfE Published Figures'!T16</f>
        <v>2183000</v>
      </c>
      <c r="BM17" s="84">
        <f t="shared" si="22"/>
        <v>0</v>
      </c>
      <c r="BO17" s="103"/>
    </row>
    <row r="18" spans="2:67" ht="15.75">
      <c r="B18" s="198">
        <v>2013</v>
      </c>
      <c r="C18" s="60" t="s">
        <v>24</v>
      </c>
      <c r="D18" s="204"/>
      <c r="F18" s="80">
        <v>397</v>
      </c>
      <c r="G18" s="163"/>
      <c r="H18" s="164">
        <v>-1</v>
      </c>
      <c r="I18" s="94">
        <f t="shared" si="0"/>
        <v>396</v>
      </c>
      <c r="J18" s="103"/>
      <c r="K18" s="80">
        <v>1196261.0565050915</v>
      </c>
      <c r="L18" s="163"/>
      <c r="M18" s="163"/>
      <c r="N18" s="94">
        <f t="shared" si="1"/>
        <v>1196261.0565050915</v>
      </c>
      <c r="O18" s="103"/>
      <c r="P18" s="80">
        <f>P$76*'TABLE 4 - October 2016 Dataset'!F18</f>
        <v>1087808.0399999998</v>
      </c>
      <c r="Q18" s="160"/>
      <c r="R18" s="161"/>
      <c r="S18" s="162">
        <f t="shared" si="4"/>
        <v>1087808.0399999998</v>
      </c>
      <c r="T18" s="165">
        <f>T$76*'TABLE 4 - October 2016 Dataset'!I18</f>
        <v>1759.9999999999998</v>
      </c>
      <c r="U18" s="165">
        <f>U$76*'TABLE 4 - October 2016 Dataset'!J18</f>
        <v>10559.999999999998</v>
      </c>
      <c r="V18" s="165">
        <f>V$76*'TABLE 4 - October 2016 Dataset'!K18</f>
        <v>0</v>
      </c>
      <c r="W18" s="165">
        <f>W$76*'TABLE 4 - October 2016 Dataset'!L18</f>
        <v>0</v>
      </c>
      <c r="X18" s="165">
        <f>X$76*'TABLE 4 - October 2016 Dataset'!M18</f>
        <v>0</v>
      </c>
      <c r="Y18" s="165">
        <f>Y$76*'TABLE 4 - October 2016 Dataset'!N18</f>
        <v>1080.0000000000007</v>
      </c>
      <c r="Z18" s="165">
        <f>Z$76*'TABLE 4 - October 2016 Dataset'!O18</f>
        <v>0</v>
      </c>
      <c r="AA18" s="165">
        <f>AA$76*'TABLE 4 - October 2016 Dataset'!P18</f>
        <v>1200.0000000000039</v>
      </c>
      <c r="AB18" s="162">
        <f t="shared" si="5"/>
        <v>14600.000000000002</v>
      </c>
      <c r="AC18" s="140">
        <f>AC$76*'TABLE 4 - October 2016 Dataset'!Q18</f>
        <v>91785.490654205554</v>
      </c>
      <c r="AD18" s="140">
        <f>AD$76*'TABLE 4 - October 2016 Dataset'!R18</f>
        <v>1217.5522388059694</v>
      </c>
      <c r="AE18" s="140">
        <f>AE$76*'TABLE 4 - October 2016 Dataset'!S18</f>
        <v>0</v>
      </c>
      <c r="AF18" s="140">
        <f t="shared" si="6"/>
        <v>110000</v>
      </c>
      <c r="AG18" s="140">
        <f>IF('TABLE 4 - October 2016 Dataset'!X18="No",0,"*CHECK*")</f>
        <v>0</v>
      </c>
      <c r="AH18" s="140">
        <f>'TABLE 4 - October 2016 Dataset'!Y18</f>
        <v>20044.21</v>
      </c>
      <c r="AI18" s="170">
        <f>IF('TABLE 4 - October 2016 Dataset'!Z18&gt;0,('TABLE 4 - October 2016 Dataset'!Z18*(1+'TABLE 1 - 2018-19 Provisional'!AI$79)*(1+AI$79))-((AI$76*SUM('TABLE 4 - October 2016 Dataset'!F18:H18))+AI$77),0)</f>
        <v>0</v>
      </c>
      <c r="AJ18" s="166" t="str">
        <f>IF('TABLE 4 - October 2016 Dataset'!AA18="Yes",'TABLE 3 - Target Illustrative'!AJ$76*SUM('TABLE 4 - October 2016 Dataset'!F18:H18),"")</f>
        <v/>
      </c>
      <c r="AK18" s="140">
        <f t="shared" si="7"/>
        <v>0</v>
      </c>
      <c r="AL18" s="94">
        <f t="shared" si="8"/>
        <v>1325455.2928930114</v>
      </c>
      <c r="AM18" s="103"/>
      <c r="AN18" s="80">
        <f t="shared" si="2"/>
        <v>1305411.0828930114</v>
      </c>
      <c r="AO18" s="165">
        <f>AN18/SUM('TABLE 4 - October 2016 Dataset'!F18:H18)</f>
        <v>3296.4926335682107</v>
      </c>
      <c r="AP18" s="165">
        <f t="shared" si="3"/>
        <v>203.50736643178925</v>
      </c>
      <c r="AQ18" s="165">
        <f>AP18*SUM('TABLE 4 - October 2016 Dataset'!F18:H18)</f>
        <v>80588.917106988549</v>
      </c>
      <c r="AR18" s="94">
        <f t="shared" si="9"/>
        <v>1406044.21</v>
      </c>
      <c r="AS18" s="103"/>
      <c r="AT18" s="80">
        <f>N18-(AF18+AG18+'TABLE 4 - October 2016 Dataset'!Y18)</f>
        <v>1066216.8465050915</v>
      </c>
      <c r="AU18" s="187">
        <f t="shared" si="10"/>
        <v>1276000</v>
      </c>
      <c r="AV18" s="165">
        <f t="shared" si="11"/>
        <v>2692.4667841037663</v>
      </c>
      <c r="AW18" s="165">
        <f>AU18/SUM('TABLE 4 - October 2016 Dataset'!F18:H18)</f>
        <v>3222.2222222222222</v>
      </c>
      <c r="AX18" s="173">
        <f t="shared" si="12"/>
        <v>0.19675467910917765</v>
      </c>
      <c r="AY18" s="173">
        <f t="shared" si="13"/>
        <v>0</v>
      </c>
      <c r="AZ18" s="175">
        <f t="shared" si="14"/>
        <v>0</v>
      </c>
      <c r="BA18" s="165">
        <f t="shared" si="15"/>
        <v>0</v>
      </c>
      <c r="BB18" s="94">
        <f t="shared" si="16"/>
        <v>1406044.21</v>
      </c>
      <c r="BC18" s="103"/>
      <c r="BD18" s="80">
        <f t="shared" si="17"/>
        <v>1196261.0565050915</v>
      </c>
      <c r="BE18" s="122">
        <f t="shared" si="18"/>
        <v>3020.861253800736</v>
      </c>
      <c r="BF18" s="264">
        <f t="shared" si="19"/>
        <v>1406044.21</v>
      </c>
      <c r="BG18" s="81">
        <f>BF18/SUM('TABLE 4 - October 2016 Dataset'!F18:H18)</f>
        <v>3550.6166919191919</v>
      </c>
      <c r="BH18" s="264">
        <f t="shared" si="20"/>
        <v>209783.15349490847</v>
      </c>
      <c r="BI18" s="81">
        <f t="shared" si="20"/>
        <v>529.75543811845591</v>
      </c>
      <c r="BJ18" s="269">
        <f t="shared" si="21"/>
        <v>0.17536569660454851</v>
      </c>
      <c r="BK18" s="103"/>
      <c r="BL18" s="80">
        <f>'TABLE 5 - DfE Published Figures'!T17</f>
        <v>1406000</v>
      </c>
      <c r="BM18" s="84">
        <f t="shared" si="22"/>
        <v>0</v>
      </c>
      <c r="BO18" s="103"/>
    </row>
    <row r="19" spans="2:67" ht="15.75">
      <c r="B19" s="198">
        <v>2007</v>
      </c>
      <c r="C19" s="60" t="s">
        <v>25</v>
      </c>
      <c r="D19" s="204"/>
      <c r="F19" s="80">
        <v>290</v>
      </c>
      <c r="G19" s="163"/>
      <c r="H19" s="164">
        <v>0</v>
      </c>
      <c r="I19" s="94">
        <f t="shared" si="0"/>
        <v>290</v>
      </c>
      <c r="J19" s="103"/>
      <c r="K19" s="80">
        <v>956811.6401583699</v>
      </c>
      <c r="L19" s="163"/>
      <c r="M19" s="163"/>
      <c r="N19" s="94">
        <f t="shared" si="1"/>
        <v>956811.6401583699</v>
      </c>
      <c r="O19" s="103"/>
      <c r="P19" s="80">
        <f>P$76*'TABLE 4 - October 2016 Dataset'!F19</f>
        <v>796627.1</v>
      </c>
      <c r="Q19" s="160"/>
      <c r="R19" s="161"/>
      <c r="S19" s="162">
        <f t="shared" si="4"/>
        <v>796627.1</v>
      </c>
      <c r="T19" s="165">
        <f>T$76*'TABLE 4 - October 2016 Dataset'!I19</f>
        <v>9240.0000000000036</v>
      </c>
      <c r="U19" s="165">
        <f>U$76*'TABLE 4 - October 2016 Dataset'!J19</f>
        <v>21750</v>
      </c>
      <c r="V19" s="165">
        <f>V$76*'TABLE 4 - October 2016 Dataset'!K19</f>
        <v>0</v>
      </c>
      <c r="W19" s="165">
        <f>W$76*'TABLE 4 - October 2016 Dataset'!L19</f>
        <v>0</v>
      </c>
      <c r="X19" s="165">
        <f>X$76*'TABLE 4 - October 2016 Dataset'!M19</f>
        <v>1587.3684210526264</v>
      </c>
      <c r="Y19" s="165">
        <f>Y$76*'TABLE 4 - October 2016 Dataset'!N19</f>
        <v>2564.2105263157864</v>
      </c>
      <c r="Z19" s="165">
        <f>Z$76*'TABLE 4 - October 2016 Dataset'!O19</f>
        <v>0</v>
      </c>
      <c r="AA19" s="165">
        <f>AA$76*'TABLE 4 - October 2016 Dataset'!P19</f>
        <v>14245.614035087703</v>
      </c>
      <c r="AB19" s="162">
        <f t="shared" si="5"/>
        <v>49387.192982456116</v>
      </c>
      <c r="AC19" s="140">
        <f>AC$76*'TABLE 4 - October 2016 Dataset'!Q19</f>
        <v>61931.875624375556</v>
      </c>
      <c r="AD19" s="140">
        <f>AD$76*'TABLE 4 - October 2016 Dataset'!R19</f>
        <v>4876.7346938775518</v>
      </c>
      <c r="AE19" s="140">
        <f>AE$76*'TABLE 4 - October 2016 Dataset'!S19</f>
        <v>0</v>
      </c>
      <c r="AF19" s="140">
        <f t="shared" si="6"/>
        <v>110000</v>
      </c>
      <c r="AG19" s="140">
        <f>IF('TABLE 4 - October 2016 Dataset'!X19="No",0,"*CHECK*")</f>
        <v>0</v>
      </c>
      <c r="AH19" s="140">
        <f>'TABLE 4 - October 2016 Dataset'!Y19</f>
        <v>19475.580000000002</v>
      </c>
      <c r="AI19" s="170">
        <f>IF('TABLE 4 - October 2016 Dataset'!Z19&gt;0,('TABLE 4 - October 2016 Dataset'!Z19*(1+'TABLE 1 - 2018-19 Provisional'!AI$79)*(1+AI$79))-((AI$76*SUM('TABLE 4 - October 2016 Dataset'!F19:H19))+AI$77),0)</f>
        <v>0</v>
      </c>
      <c r="AJ19" s="166" t="str">
        <f>IF('TABLE 4 - October 2016 Dataset'!AA19="Yes",'TABLE 3 - Target Illustrative'!AJ$76*SUM('TABLE 4 - October 2016 Dataset'!F19:H19),"")</f>
        <v/>
      </c>
      <c r="AK19" s="140">
        <f t="shared" si="7"/>
        <v>0</v>
      </c>
      <c r="AL19" s="94">
        <f t="shared" si="8"/>
        <v>1042298.483300709</v>
      </c>
      <c r="AM19" s="103"/>
      <c r="AN19" s="80">
        <f t="shared" si="2"/>
        <v>1022822.9033007091</v>
      </c>
      <c r="AO19" s="165">
        <f>AN19/SUM('TABLE 4 - October 2016 Dataset'!F19:H19)</f>
        <v>3526.9755286231348</v>
      </c>
      <c r="AP19" s="165">
        <f t="shared" si="3"/>
        <v>0</v>
      </c>
      <c r="AQ19" s="165">
        <f>AP19*SUM('TABLE 4 - October 2016 Dataset'!F19:H19)</f>
        <v>0</v>
      </c>
      <c r="AR19" s="94">
        <f t="shared" si="9"/>
        <v>1042298.483300709</v>
      </c>
      <c r="AS19" s="103"/>
      <c r="AT19" s="80">
        <f>N19-(AF19+AG19+'TABLE 4 - October 2016 Dataset'!Y19)</f>
        <v>827336.06015836995</v>
      </c>
      <c r="AU19" s="187">
        <f t="shared" si="10"/>
        <v>912822.90330070909</v>
      </c>
      <c r="AV19" s="165">
        <f t="shared" si="11"/>
        <v>2852.8829660633446</v>
      </c>
      <c r="AW19" s="165">
        <f>AU19/SUM('TABLE 4 - October 2016 Dataset'!F19:H19)</f>
        <v>3147.6651837955487</v>
      </c>
      <c r="AX19" s="173">
        <f t="shared" si="12"/>
        <v>0.10332783406778523</v>
      </c>
      <c r="AY19" s="173">
        <f t="shared" si="13"/>
        <v>0</v>
      </c>
      <c r="AZ19" s="175">
        <f t="shared" si="14"/>
        <v>0</v>
      </c>
      <c r="BA19" s="165">
        <f t="shared" si="15"/>
        <v>0</v>
      </c>
      <c r="BB19" s="94">
        <f t="shared" si="16"/>
        <v>1042298.483300709</v>
      </c>
      <c r="BC19" s="103"/>
      <c r="BD19" s="80">
        <f t="shared" si="17"/>
        <v>956811.6401583699</v>
      </c>
      <c r="BE19" s="122">
        <f t="shared" si="18"/>
        <v>3299.3504833047236</v>
      </c>
      <c r="BF19" s="264">
        <f t="shared" si="19"/>
        <v>1042298.483300709</v>
      </c>
      <c r="BG19" s="81">
        <f>BF19/SUM('TABLE 4 - October 2016 Dataset'!F19:H19)</f>
        <v>3594.1327010369278</v>
      </c>
      <c r="BH19" s="264">
        <f t="shared" si="20"/>
        <v>85486.843142339145</v>
      </c>
      <c r="BI19" s="81">
        <f t="shared" si="20"/>
        <v>294.78221773220412</v>
      </c>
      <c r="BJ19" s="269">
        <f t="shared" si="21"/>
        <v>8.9345530044126084E-2</v>
      </c>
      <c r="BK19" s="103"/>
      <c r="BL19" s="80">
        <f>'TABLE 5 - DfE Published Figures'!T18</f>
        <v>1042000</v>
      </c>
      <c r="BM19" s="84">
        <f t="shared" si="22"/>
        <v>0</v>
      </c>
      <c r="BO19" s="103"/>
    </row>
    <row r="20" spans="2:67" ht="15.75">
      <c r="B20" s="198">
        <v>3151</v>
      </c>
      <c r="C20" s="60" t="s">
        <v>26</v>
      </c>
      <c r="D20" s="204"/>
      <c r="F20" s="80">
        <v>254</v>
      </c>
      <c r="G20" s="163"/>
      <c r="H20" s="164">
        <v>-1</v>
      </c>
      <c r="I20" s="94">
        <f t="shared" si="0"/>
        <v>253</v>
      </c>
      <c r="J20" s="103"/>
      <c r="K20" s="80">
        <v>827075.54038323567</v>
      </c>
      <c r="L20" s="163"/>
      <c r="M20" s="163"/>
      <c r="N20" s="94">
        <f t="shared" si="1"/>
        <v>827075.54038323567</v>
      </c>
      <c r="O20" s="103"/>
      <c r="P20" s="80">
        <f>P$76*'TABLE 4 - October 2016 Dataset'!F20</f>
        <v>694988.47</v>
      </c>
      <c r="Q20" s="160"/>
      <c r="R20" s="161"/>
      <c r="S20" s="162">
        <f t="shared" si="4"/>
        <v>694988.47</v>
      </c>
      <c r="T20" s="165">
        <f>T$76*'TABLE 4 - October 2016 Dataset'!I20</f>
        <v>3079.9999999999977</v>
      </c>
      <c r="U20" s="165">
        <f>U$76*'TABLE 4 - October 2016 Dataset'!J20</f>
        <v>8230.12048192771</v>
      </c>
      <c r="V20" s="165">
        <f>V$76*'TABLE 4 - October 2016 Dataset'!K20</f>
        <v>0</v>
      </c>
      <c r="W20" s="165">
        <f>W$76*'TABLE 4 - October 2016 Dataset'!L20</f>
        <v>0</v>
      </c>
      <c r="X20" s="165">
        <f>X$76*'TABLE 4 - October 2016 Dataset'!M20</f>
        <v>0</v>
      </c>
      <c r="Y20" s="165">
        <f>Y$76*'TABLE 4 - October 2016 Dataset'!N20</f>
        <v>0</v>
      </c>
      <c r="Z20" s="165">
        <f>Z$76*'TABLE 4 - October 2016 Dataset'!O20</f>
        <v>0</v>
      </c>
      <c r="AA20" s="165">
        <f>AA$76*'TABLE 4 - October 2016 Dataset'!P20</f>
        <v>0</v>
      </c>
      <c r="AB20" s="162">
        <f t="shared" si="5"/>
        <v>11310.120481927708</v>
      </c>
      <c r="AC20" s="140">
        <f>AC$76*'TABLE 4 - October 2016 Dataset'!Q20</f>
        <v>52250.748346676002</v>
      </c>
      <c r="AD20" s="140">
        <f>AD$76*'TABLE 4 - October 2016 Dataset'!R20</f>
        <v>4126.9909502262472</v>
      </c>
      <c r="AE20" s="140">
        <f>AE$76*'TABLE 4 - October 2016 Dataset'!S20</f>
        <v>0</v>
      </c>
      <c r="AF20" s="140">
        <f t="shared" si="6"/>
        <v>110000</v>
      </c>
      <c r="AG20" s="140">
        <f>IF('TABLE 4 - October 2016 Dataset'!X20="No",0,"*CHECK*")</f>
        <v>0</v>
      </c>
      <c r="AH20" s="140">
        <f>'TABLE 4 - October 2016 Dataset'!Y20</f>
        <v>20328.53</v>
      </c>
      <c r="AI20" s="170">
        <f>IF('TABLE 4 - October 2016 Dataset'!Z20&gt;0,('TABLE 4 - October 2016 Dataset'!Z20*(1+'TABLE 1 - 2018-19 Provisional'!AI$79)*(1+AI$79))-((AI$76*SUM('TABLE 4 - October 2016 Dataset'!F20:H20))+AI$77),0)</f>
        <v>0</v>
      </c>
      <c r="AJ20" s="166" t="str">
        <f>IF('TABLE 4 - October 2016 Dataset'!AA20="Yes",'TABLE 3 - Target Illustrative'!AJ$76*SUM('TABLE 4 - October 2016 Dataset'!F20:H20),"")</f>
        <v/>
      </c>
      <c r="AK20" s="140">
        <f t="shared" si="7"/>
        <v>0</v>
      </c>
      <c r="AL20" s="94">
        <f t="shared" si="8"/>
        <v>893004.85977882997</v>
      </c>
      <c r="AM20" s="103"/>
      <c r="AN20" s="80">
        <f t="shared" si="2"/>
        <v>872676.32977882994</v>
      </c>
      <c r="AO20" s="165">
        <f>AN20/SUM('TABLE 4 - October 2016 Dataset'!F20:H20)</f>
        <v>3449.3135564380632</v>
      </c>
      <c r="AP20" s="165">
        <f t="shared" si="3"/>
        <v>50.686443561936812</v>
      </c>
      <c r="AQ20" s="165">
        <f>AP20*SUM('TABLE 4 - October 2016 Dataset'!F20:H20)</f>
        <v>12823.670221170014</v>
      </c>
      <c r="AR20" s="94">
        <f t="shared" si="9"/>
        <v>905828.53</v>
      </c>
      <c r="AS20" s="103"/>
      <c r="AT20" s="80">
        <f>N20-(AF20+AG20+'TABLE 4 - October 2016 Dataset'!Y20)</f>
        <v>696747.01038323564</v>
      </c>
      <c r="AU20" s="187">
        <f t="shared" si="10"/>
        <v>775500</v>
      </c>
      <c r="AV20" s="165">
        <f t="shared" si="11"/>
        <v>2753.9407525029078</v>
      </c>
      <c r="AW20" s="165">
        <f>AU20/SUM('TABLE 4 - October 2016 Dataset'!F20:H20)</f>
        <v>3065.217391304348</v>
      </c>
      <c r="AX20" s="173">
        <f t="shared" si="12"/>
        <v>0.11302953359419132</v>
      </c>
      <c r="AY20" s="173">
        <f t="shared" si="13"/>
        <v>0</v>
      </c>
      <c r="AZ20" s="175">
        <f t="shared" si="14"/>
        <v>0</v>
      </c>
      <c r="BA20" s="165">
        <f t="shared" si="15"/>
        <v>0</v>
      </c>
      <c r="BB20" s="94">
        <f t="shared" si="16"/>
        <v>905828.53</v>
      </c>
      <c r="BC20" s="103"/>
      <c r="BD20" s="80">
        <f t="shared" si="17"/>
        <v>827075.54038323567</v>
      </c>
      <c r="BE20" s="122">
        <f t="shared" si="18"/>
        <v>3269.0732821471765</v>
      </c>
      <c r="BF20" s="264">
        <f t="shared" si="19"/>
        <v>905828.53</v>
      </c>
      <c r="BG20" s="81">
        <f>BF20/SUM('TABLE 4 - October 2016 Dataset'!F20:H20)</f>
        <v>3580.3499209486167</v>
      </c>
      <c r="BH20" s="264">
        <f t="shared" si="20"/>
        <v>78752.98961676436</v>
      </c>
      <c r="BI20" s="81">
        <f t="shared" si="20"/>
        <v>311.27663880144019</v>
      </c>
      <c r="BJ20" s="269">
        <f t="shared" si="21"/>
        <v>9.5218617612936776E-2</v>
      </c>
      <c r="BK20" s="103"/>
      <c r="BL20" s="80">
        <f>'TABLE 5 - DfE Published Figures'!T19</f>
        <v>906000</v>
      </c>
      <c r="BM20" s="84">
        <f t="shared" si="22"/>
        <v>0</v>
      </c>
      <c r="BO20" s="103"/>
    </row>
    <row r="21" spans="2:67" ht="15.75">
      <c r="B21" s="198">
        <v>3152</v>
      </c>
      <c r="C21" s="60" t="s">
        <v>27</v>
      </c>
      <c r="D21" s="204"/>
      <c r="F21" s="80">
        <v>149</v>
      </c>
      <c r="G21" s="163"/>
      <c r="H21" s="164">
        <v>-1</v>
      </c>
      <c r="I21" s="94">
        <f t="shared" si="0"/>
        <v>148</v>
      </c>
      <c r="J21" s="103"/>
      <c r="K21" s="80">
        <v>554825.35785972222</v>
      </c>
      <c r="L21" s="163"/>
      <c r="M21" s="163"/>
      <c r="N21" s="94">
        <f t="shared" si="1"/>
        <v>554825.35785972222</v>
      </c>
      <c r="O21" s="103"/>
      <c r="P21" s="80">
        <f>P$76*'TABLE 4 - October 2016 Dataset'!F21</f>
        <v>406554.51999999996</v>
      </c>
      <c r="Q21" s="160"/>
      <c r="R21" s="161"/>
      <c r="S21" s="162">
        <f t="shared" si="4"/>
        <v>406554.51999999996</v>
      </c>
      <c r="T21" s="165">
        <f>T$76*'TABLE 4 - October 2016 Dataset'!I21</f>
        <v>3080</v>
      </c>
      <c r="U21" s="165">
        <f>U$76*'TABLE 4 - October 2016 Dataset'!J21</f>
        <v>4409.3793103448279</v>
      </c>
      <c r="V21" s="165">
        <f>V$76*'TABLE 4 - October 2016 Dataset'!K21</f>
        <v>0</v>
      </c>
      <c r="W21" s="165">
        <f>W$76*'TABLE 4 - October 2016 Dataset'!L21</f>
        <v>0</v>
      </c>
      <c r="X21" s="165">
        <f>X$76*'TABLE 4 - October 2016 Dataset'!M21</f>
        <v>0</v>
      </c>
      <c r="Y21" s="165">
        <f>Y$76*'TABLE 4 - October 2016 Dataset'!N21</f>
        <v>0</v>
      </c>
      <c r="Z21" s="165">
        <f>Z$76*'TABLE 4 - October 2016 Dataset'!O21</f>
        <v>0</v>
      </c>
      <c r="AA21" s="165">
        <f>AA$76*'TABLE 4 - October 2016 Dataset'!P21</f>
        <v>0</v>
      </c>
      <c r="AB21" s="162">
        <f t="shared" si="5"/>
        <v>7489.3793103448279</v>
      </c>
      <c r="AC21" s="140">
        <f>AC$76*'TABLE 4 - October 2016 Dataset'!Q21</f>
        <v>25218.175379575925</v>
      </c>
      <c r="AD21" s="140">
        <f>AD$76*'TABLE 4 - October 2016 Dataset'!R21</f>
        <v>573.082706766917</v>
      </c>
      <c r="AE21" s="140">
        <f>AE$76*'TABLE 4 - October 2016 Dataset'!S21</f>
        <v>0</v>
      </c>
      <c r="AF21" s="140">
        <f t="shared" si="6"/>
        <v>110000</v>
      </c>
      <c r="AG21" s="140">
        <f>IF('TABLE 4 - October 2016 Dataset'!X21="No",0,"*CHECK*")</f>
        <v>0</v>
      </c>
      <c r="AH21" s="140">
        <f>'TABLE 4 - October 2016 Dataset'!Y21</f>
        <v>15480</v>
      </c>
      <c r="AI21" s="170">
        <f>IF('TABLE 4 - October 2016 Dataset'!Z21&gt;0,('TABLE 4 - October 2016 Dataset'!Z21*(1+'TABLE 1 - 2018-19 Provisional'!AI$79)*(1+AI$79))-((AI$76*SUM('TABLE 4 - October 2016 Dataset'!F21:H21))+AI$77),0)</f>
        <v>0</v>
      </c>
      <c r="AJ21" s="166" t="str">
        <f>IF('TABLE 4 - October 2016 Dataset'!AA21="Yes",'TABLE 3 - Target Illustrative'!AJ$76*SUM('TABLE 4 - October 2016 Dataset'!F21:H21),"")</f>
        <v/>
      </c>
      <c r="AK21" s="140">
        <f t="shared" si="7"/>
        <v>0</v>
      </c>
      <c r="AL21" s="94">
        <f t="shared" si="8"/>
        <v>565315.15739668766</v>
      </c>
      <c r="AM21" s="103"/>
      <c r="AN21" s="80">
        <f t="shared" si="2"/>
        <v>549835.15739668766</v>
      </c>
      <c r="AO21" s="165">
        <f>AN21/SUM('TABLE 4 - October 2016 Dataset'!F21:H21)</f>
        <v>3715.102414842484</v>
      </c>
      <c r="AP21" s="165">
        <f t="shared" si="3"/>
        <v>0</v>
      </c>
      <c r="AQ21" s="165">
        <f>AP21*SUM('TABLE 4 - October 2016 Dataset'!F21:H21)</f>
        <v>0</v>
      </c>
      <c r="AR21" s="94">
        <f t="shared" si="9"/>
        <v>565315.15739668766</v>
      </c>
      <c r="AS21" s="103"/>
      <c r="AT21" s="80">
        <f>N21-(AF21+AG21+'TABLE 4 - October 2016 Dataset'!Y21)</f>
        <v>429345.35785972222</v>
      </c>
      <c r="AU21" s="187">
        <f t="shared" si="10"/>
        <v>439835.15739668766</v>
      </c>
      <c r="AV21" s="165">
        <f t="shared" si="11"/>
        <v>2900.9821477008259</v>
      </c>
      <c r="AW21" s="165">
        <f>AU21/SUM('TABLE 4 - October 2016 Dataset'!F21:H21)</f>
        <v>2971.8591715992411</v>
      </c>
      <c r="AX21" s="173">
        <f t="shared" si="12"/>
        <v>2.443207861675023E-2</v>
      </c>
      <c r="AY21" s="173">
        <f t="shared" si="13"/>
        <v>0</v>
      </c>
      <c r="AZ21" s="175">
        <f t="shared" si="14"/>
        <v>0</v>
      </c>
      <c r="BA21" s="165">
        <f t="shared" si="15"/>
        <v>0</v>
      </c>
      <c r="BB21" s="94">
        <f t="shared" si="16"/>
        <v>565315.15739668766</v>
      </c>
      <c r="BC21" s="103"/>
      <c r="BD21" s="80">
        <f t="shared" si="17"/>
        <v>554825.35785972222</v>
      </c>
      <c r="BE21" s="122">
        <f t="shared" si="18"/>
        <v>3748.8199855386638</v>
      </c>
      <c r="BF21" s="264">
        <f t="shared" si="19"/>
        <v>565315.15739668766</v>
      </c>
      <c r="BG21" s="81">
        <f>BF21/SUM('TABLE 4 - October 2016 Dataset'!F21:H21)</f>
        <v>3819.6970094370786</v>
      </c>
      <c r="BH21" s="264">
        <f t="shared" si="20"/>
        <v>10489.799536965438</v>
      </c>
      <c r="BI21" s="81">
        <f t="shared" si="20"/>
        <v>70.877023898414791</v>
      </c>
      <c r="BJ21" s="269">
        <f t="shared" si="21"/>
        <v>1.8906489021032723E-2</v>
      </c>
      <c r="BK21" s="103"/>
      <c r="BL21" s="80">
        <f>'TABLE 5 - DfE Published Figures'!T20</f>
        <v>565000</v>
      </c>
      <c r="BM21" s="84">
        <f t="shared" si="22"/>
        <v>0</v>
      </c>
      <c r="BO21" s="103"/>
    </row>
    <row r="22" spans="2:67" ht="15.75">
      <c r="B22" s="198">
        <v>2008</v>
      </c>
      <c r="C22" s="60" t="s">
        <v>28</v>
      </c>
      <c r="D22" s="204"/>
      <c r="F22" s="80">
        <v>287</v>
      </c>
      <c r="G22" s="163"/>
      <c r="H22" s="164">
        <v>0</v>
      </c>
      <c r="I22" s="94">
        <f t="shared" si="0"/>
        <v>287</v>
      </c>
      <c r="J22" s="103"/>
      <c r="K22" s="80">
        <v>1000943.7304640468</v>
      </c>
      <c r="L22" s="163"/>
      <c r="M22" s="163"/>
      <c r="N22" s="94">
        <f t="shared" si="1"/>
        <v>1000943.7304640468</v>
      </c>
      <c r="O22" s="103"/>
      <c r="P22" s="80">
        <f>P$76*'TABLE 4 - October 2016 Dataset'!F22</f>
        <v>788386.12999999989</v>
      </c>
      <c r="Q22" s="160"/>
      <c r="R22" s="161"/>
      <c r="S22" s="162">
        <f t="shared" si="4"/>
        <v>788386.12999999989</v>
      </c>
      <c r="T22" s="165">
        <f>T$76*'TABLE 4 - October 2016 Dataset'!I22</f>
        <v>8800.0000000000018</v>
      </c>
      <c r="U22" s="165">
        <f>U$76*'TABLE 4 - October 2016 Dataset'!J22</f>
        <v>23885.806451612905</v>
      </c>
      <c r="V22" s="165">
        <f>V$76*'TABLE 4 - October 2016 Dataset'!K22</f>
        <v>0</v>
      </c>
      <c r="W22" s="165">
        <f>W$76*'TABLE 4 - October 2016 Dataset'!L22</f>
        <v>5166.0000000000045</v>
      </c>
      <c r="X22" s="165">
        <f>X$76*'TABLE 4 - October 2016 Dataset'!M22</f>
        <v>12392.250000000033</v>
      </c>
      <c r="Y22" s="165">
        <f>Y$76*'TABLE 4 - October 2016 Dataset'!N22</f>
        <v>1845.0000000000045</v>
      </c>
      <c r="Z22" s="165">
        <f>Z$76*'TABLE 4 - October 2016 Dataset'!O22</f>
        <v>2459.9999999999986</v>
      </c>
      <c r="AA22" s="165">
        <f>AA$76*'TABLE 4 - October 2016 Dataset'!P22</f>
        <v>2049.9999999999991</v>
      </c>
      <c r="AB22" s="162">
        <f t="shared" si="5"/>
        <v>56599.05645161296</v>
      </c>
      <c r="AC22" s="140">
        <f>AC$76*'TABLE 4 - October 2016 Dataset'!Q22</f>
        <v>76410.784570120974</v>
      </c>
      <c r="AD22" s="140">
        <f>AD$76*'TABLE 4 - October 2016 Dataset'!R22</f>
        <v>22924.85714285721</v>
      </c>
      <c r="AE22" s="140">
        <f>AE$76*'TABLE 4 - October 2016 Dataset'!S22</f>
        <v>0</v>
      </c>
      <c r="AF22" s="140">
        <f t="shared" si="6"/>
        <v>110000</v>
      </c>
      <c r="AG22" s="140">
        <f>IF('TABLE 4 - October 2016 Dataset'!X22="No",0,"*CHECK*")</f>
        <v>0</v>
      </c>
      <c r="AH22" s="140">
        <f>'TABLE 4 - October 2016 Dataset'!Y22</f>
        <v>13647.12</v>
      </c>
      <c r="AI22" s="170">
        <f>IF('TABLE 4 - October 2016 Dataset'!Z22&gt;0,('TABLE 4 - October 2016 Dataset'!Z22*(1+'TABLE 1 - 2018-19 Provisional'!AI$79)*(1+AI$79))-((AI$76*SUM('TABLE 4 - October 2016 Dataset'!F22:H22))+AI$77),0)</f>
        <v>0</v>
      </c>
      <c r="AJ22" s="166" t="str">
        <f>IF('TABLE 4 - October 2016 Dataset'!AA22="Yes",'TABLE 3 - Target Illustrative'!AJ$76*SUM('TABLE 4 - October 2016 Dataset'!F22:H22),"")</f>
        <v/>
      </c>
      <c r="AK22" s="140">
        <f t="shared" si="7"/>
        <v>0</v>
      </c>
      <c r="AL22" s="94">
        <f t="shared" si="8"/>
        <v>1067967.9481645911</v>
      </c>
      <c r="AM22" s="103"/>
      <c r="AN22" s="80">
        <f t="shared" si="2"/>
        <v>1054320.828164591</v>
      </c>
      <c r="AO22" s="165">
        <f>AN22/SUM('TABLE 4 - October 2016 Dataset'!F22:H22)</f>
        <v>3673.5917357651256</v>
      </c>
      <c r="AP22" s="165">
        <f t="shared" si="3"/>
        <v>0</v>
      </c>
      <c r="AQ22" s="165">
        <f>AP22*SUM('TABLE 4 - October 2016 Dataset'!F22:H22)</f>
        <v>0</v>
      </c>
      <c r="AR22" s="94">
        <f t="shared" si="9"/>
        <v>1067967.9481645911</v>
      </c>
      <c r="AS22" s="103"/>
      <c r="AT22" s="80">
        <f>N22-(AF22+AG22+'TABLE 4 - October 2016 Dataset'!Y22)</f>
        <v>877296.61046404683</v>
      </c>
      <c r="AU22" s="187">
        <f t="shared" si="10"/>
        <v>944320.8281645911</v>
      </c>
      <c r="AV22" s="165">
        <f t="shared" si="11"/>
        <v>3056.7826148573058</v>
      </c>
      <c r="AW22" s="165">
        <f>AU22/SUM('TABLE 4 - October 2016 Dataset'!F22:H22)</f>
        <v>3290.3164744410842</v>
      </c>
      <c r="AX22" s="173">
        <f t="shared" si="12"/>
        <v>7.6398582761070921E-2</v>
      </c>
      <c r="AY22" s="173">
        <f t="shared" si="13"/>
        <v>0</v>
      </c>
      <c r="AZ22" s="175">
        <f t="shared" si="14"/>
        <v>0</v>
      </c>
      <c r="BA22" s="165">
        <f t="shared" si="15"/>
        <v>0</v>
      </c>
      <c r="BB22" s="94">
        <f t="shared" si="16"/>
        <v>1067967.9481645911</v>
      </c>
      <c r="BC22" s="103"/>
      <c r="BD22" s="80">
        <f t="shared" si="17"/>
        <v>1000943.7304640468</v>
      </c>
      <c r="BE22" s="122">
        <f t="shared" si="18"/>
        <v>3487.6088169478985</v>
      </c>
      <c r="BF22" s="264">
        <f t="shared" si="19"/>
        <v>1067967.9481645911</v>
      </c>
      <c r="BG22" s="81">
        <f>BF22/SUM('TABLE 4 - October 2016 Dataset'!F22:H22)</f>
        <v>3721.1426765316764</v>
      </c>
      <c r="BH22" s="264">
        <f t="shared" si="20"/>
        <v>67024.217700544279</v>
      </c>
      <c r="BI22" s="81">
        <f t="shared" si="20"/>
        <v>233.53385958377794</v>
      </c>
      <c r="BJ22" s="269">
        <f t="shared" si="21"/>
        <v>6.6961024541780406E-2</v>
      </c>
      <c r="BK22" s="103"/>
      <c r="BL22" s="80">
        <f>'TABLE 5 - DfE Published Figures'!T21</f>
        <v>1068000</v>
      </c>
      <c r="BM22" s="84">
        <f t="shared" si="22"/>
        <v>0</v>
      </c>
      <c r="BO22" s="103"/>
    </row>
    <row r="23" spans="2:67" ht="15.75">
      <c r="B23" s="198">
        <v>2009</v>
      </c>
      <c r="C23" s="60" t="s">
        <v>29</v>
      </c>
      <c r="D23" s="204" t="s">
        <v>72</v>
      </c>
      <c r="F23" s="80">
        <v>171</v>
      </c>
      <c r="G23" s="108">
        <v>10</v>
      </c>
      <c r="H23" s="164">
        <v>-2</v>
      </c>
      <c r="I23" s="94">
        <f t="shared" si="0"/>
        <v>179</v>
      </c>
      <c r="J23" s="103"/>
      <c r="K23" s="80">
        <v>786704.97816000006</v>
      </c>
      <c r="L23" s="108">
        <v>37425.864809999999</v>
      </c>
      <c r="M23" s="163"/>
      <c r="N23" s="94">
        <f t="shared" si="1"/>
        <v>824130.84297000011</v>
      </c>
      <c r="O23" s="103"/>
      <c r="P23" s="80">
        <f>P$76*'TABLE 4 - October 2016 Dataset'!F23</f>
        <v>491711.20999999996</v>
      </c>
      <c r="Q23" s="160"/>
      <c r="R23" s="161"/>
      <c r="S23" s="162">
        <f t="shared" si="4"/>
        <v>491711.20999999996</v>
      </c>
      <c r="T23" s="165">
        <f>T$76*'TABLE 4 - October 2016 Dataset'!I23</f>
        <v>20680.000000000033</v>
      </c>
      <c r="U23" s="165">
        <f>U$76*'TABLE 4 - October 2016 Dataset'!J23</f>
        <v>47528.9502762431</v>
      </c>
      <c r="V23" s="165">
        <f>V$76*'TABLE 4 - October 2016 Dataset'!K23</f>
        <v>0</v>
      </c>
      <c r="W23" s="165">
        <f>W$76*'TABLE 4 - October 2016 Dataset'!L23</f>
        <v>3007.2000000000003</v>
      </c>
      <c r="X23" s="165">
        <f>X$76*'TABLE 4 - October 2016 Dataset'!M23</f>
        <v>1196.7428571428541</v>
      </c>
      <c r="Y23" s="165">
        <f>Y$76*'TABLE 4 - October 2016 Dataset'!N23</f>
        <v>19516.114285714295</v>
      </c>
      <c r="Z23" s="165">
        <f>Z$76*'TABLE 4 - October 2016 Dataset'!O23</f>
        <v>0</v>
      </c>
      <c r="AA23" s="165">
        <f>AA$76*'TABLE 4 - October 2016 Dataset'!P23</f>
        <v>11251.42857142856</v>
      </c>
      <c r="AB23" s="162">
        <f t="shared" si="5"/>
        <v>103180.43599052886</v>
      </c>
      <c r="AC23" s="140">
        <f>AC$76*'TABLE 4 - October 2016 Dataset'!Q23</f>
        <v>90257.379442864301</v>
      </c>
      <c r="AD23" s="140">
        <f>AD$76*'TABLE 4 - October 2016 Dataset'!R23</f>
        <v>12835.886075949375</v>
      </c>
      <c r="AE23" s="140">
        <f>AE$76*'TABLE 4 - October 2016 Dataset'!S23</f>
        <v>0</v>
      </c>
      <c r="AF23" s="140">
        <f t="shared" si="6"/>
        <v>110000</v>
      </c>
      <c r="AG23" s="140">
        <f>IF('TABLE 4 - October 2016 Dataset'!X23="No",0,"*CHECK*")</f>
        <v>0</v>
      </c>
      <c r="AH23" s="140">
        <f>'TABLE 4 - October 2016 Dataset'!Y23</f>
        <v>4207.8599999999997</v>
      </c>
      <c r="AI23" s="170">
        <f>IF('TABLE 4 - October 2016 Dataset'!Z23&gt;0,('TABLE 4 - October 2016 Dataset'!Z23*(1+'TABLE 1 - 2018-19 Provisional'!AI$79)*(1+AI$79))-((AI$76*SUM('TABLE 4 - October 2016 Dataset'!F23:H23))+AI$77),0)</f>
        <v>0</v>
      </c>
      <c r="AJ23" s="166" t="str">
        <f>IF('TABLE 4 - October 2016 Dataset'!AA23="Yes",'TABLE 3 - Target Illustrative'!AJ$76*SUM('TABLE 4 - October 2016 Dataset'!F23:H23),"")</f>
        <v/>
      </c>
      <c r="AK23" s="140">
        <f t="shared" si="7"/>
        <v>0</v>
      </c>
      <c r="AL23" s="94">
        <f t="shared" si="8"/>
        <v>812192.77150934259</v>
      </c>
      <c r="AM23" s="103"/>
      <c r="AN23" s="80">
        <f t="shared" si="2"/>
        <v>807984.91150934261</v>
      </c>
      <c r="AO23" s="165">
        <f>AN23/SUM('TABLE 4 - October 2016 Dataset'!F23:H23)</f>
        <v>4513.8821872030312</v>
      </c>
      <c r="AP23" s="165">
        <f t="shared" si="3"/>
        <v>0</v>
      </c>
      <c r="AQ23" s="165">
        <f>AP23*SUM('TABLE 4 - October 2016 Dataset'!F23:H23)</f>
        <v>0</v>
      </c>
      <c r="AR23" s="94">
        <f t="shared" si="9"/>
        <v>812192.77150934259</v>
      </c>
      <c r="AS23" s="103"/>
      <c r="AT23" s="80">
        <f>N23-(AF23+AG23+'TABLE 4 - October 2016 Dataset'!Y23)</f>
        <v>709922.98297000013</v>
      </c>
      <c r="AU23" s="187">
        <f t="shared" si="10"/>
        <v>697984.91150934261</v>
      </c>
      <c r="AV23" s="165">
        <f t="shared" si="11"/>
        <v>3966.050184189945</v>
      </c>
      <c r="AW23" s="165">
        <f>AU23/SUM('TABLE 4 - October 2016 Dataset'!F23:H23)</f>
        <v>3899.3570475382267</v>
      </c>
      <c r="AX23" s="173">
        <f t="shared" si="12"/>
        <v>-1.6816009267250354E-2</v>
      </c>
      <c r="AY23" s="173">
        <f t="shared" si="13"/>
        <v>2.6816009267250356E-2</v>
      </c>
      <c r="AZ23" s="175">
        <f t="shared" si="14"/>
        <v>106.35363849361754</v>
      </c>
      <c r="BA23" s="165">
        <f t="shared" si="15"/>
        <v>19037.30129035754</v>
      </c>
      <c r="BB23" s="94">
        <f t="shared" si="16"/>
        <v>831230.07279970008</v>
      </c>
      <c r="BC23" s="103"/>
      <c r="BD23" s="80">
        <f t="shared" si="17"/>
        <v>824130.84297000011</v>
      </c>
      <c r="BE23" s="122">
        <f t="shared" si="18"/>
        <v>4604.0829216201128</v>
      </c>
      <c r="BF23" s="264">
        <f t="shared" si="19"/>
        <v>831230.07279970008</v>
      </c>
      <c r="BG23" s="81">
        <f>BF23/SUM('TABLE 4 - October 2016 Dataset'!F23:H23)</f>
        <v>4643.7434234620114</v>
      </c>
      <c r="BH23" s="264">
        <f t="shared" si="20"/>
        <v>7099.2298296999652</v>
      </c>
      <c r="BI23" s="81">
        <f t="shared" si="20"/>
        <v>39.660501841898622</v>
      </c>
      <c r="BJ23" s="269">
        <f t="shared" si="21"/>
        <v>8.6142023323816774E-3</v>
      </c>
      <c r="BK23" s="103"/>
      <c r="BL23" s="80">
        <f>'TABLE 5 - DfE Published Figures'!T22</f>
        <v>830000</v>
      </c>
      <c r="BM23" s="84">
        <f t="shared" si="22"/>
        <v>1000</v>
      </c>
      <c r="BO23" s="103"/>
    </row>
    <row r="24" spans="2:67" ht="15.75">
      <c r="B24" s="198">
        <v>2241</v>
      </c>
      <c r="C24" s="60" t="s">
        <v>30</v>
      </c>
      <c r="D24" s="204"/>
      <c r="F24" s="80">
        <v>302</v>
      </c>
      <c r="G24" s="163"/>
      <c r="H24" s="164">
        <v>-1</v>
      </c>
      <c r="I24" s="94">
        <f t="shared" si="0"/>
        <v>301</v>
      </c>
      <c r="J24" s="103"/>
      <c r="K24" s="80">
        <v>965319.87820364896</v>
      </c>
      <c r="L24" s="163"/>
      <c r="M24" s="163"/>
      <c r="N24" s="94">
        <f t="shared" si="1"/>
        <v>965319.87820364896</v>
      </c>
      <c r="O24" s="103"/>
      <c r="P24" s="80">
        <f>P$76*'TABLE 4 - October 2016 Dataset'!F24</f>
        <v>826843.99</v>
      </c>
      <c r="Q24" s="160"/>
      <c r="R24" s="161"/>
      <c r="S24" s="162">
        <f t="shared" si="4"/>
        <v>826843.99</v>
      </c>
      <c r="T24" s="165">
        <f>T$76*'TABLE 4 - October 2016 Dataset'!I24</f>
        <v>5280.0000000000009</v>
      </c>
      <c r="U24" s="165">
        <f>U$76*'TABLE 4 - October 2016 Dataset'!J24</f>
        <v>7501.1973055880599</v>
      </c>
      <c r="V24" s="165">
        <f>V$76*'TABLE 4 - October 2016 Dataset'!K24</f>
        <v>0</v>
      </c>
      <c r="W24" s="165">
        <f>W$76*'TABLE 4 - October 2016 Dataset'!L24</f>
        <v>0</v>
      </c>
      <c r="X24" s="165">
        <f>X$76*'TABLE 4 - October 2016 Dataset'!M24</f>
        <v>0</v>
      </c>
      <c r="Y24" s="165">
        <f>Y$76*'TABLE 4 - October 2016 Dataset'!N24</f>
        <v>0</v>
      </c>
      <c r="Z24" s="165">
        <f>Z$76*'TABLE 4 - October 2016 Dataset'!O24</f>
        <v>966.42140468227558</v>
      </c>
      <c r="AA24" s="165">
        <f>AA$76*'TABLE 4 - October 2016 Dataset'!P24</f>
        <v>0</v>
      </c>
      <c r="AB24" s="162">
        <f t="shared" si="5"/>
        <v>13747.618710270337</v>
      </c>
      <c r="AC24" s="140">
        <f>AC$76*'TABLE 4 - October 2016 Dataset'!Q24</f>
        <v>85743.131124230989</v>
      </c>
      <c r="AD24" s="140">
        <f>AD$76*'TABLE 4 - October 2016 Dataset'!R24</f>
        <v>4697.424242424242</v>
      </c>
      <c r="AE24" s="140">
        <f>AE$76*'TABLE 4 - October 2016 Dataset'!S24</f>
        <v>0</v>
      </c>
      <c r="AF24" s="140">
        <f t="shared" si="6"/>
        <v>110000</v>
      </c>
      <c r="AG24" s="140">
        <f>IF('TABLE 4 - October 2016 Dataset'!X24="No",0,"*CHECK*")</f>
        <v>0</v>
      </c>
      <c r="AH24" s="140">
        <f>'TABLE 4 - October 2016 Dataset'!Y24</f>
        <v>20328.53</v>
      </c>
      <c r="AI24" s="170">
        <f>IF('TABLE 4 - October 2016 Dataset'!Z24&gt;0,('TABLE 4 - October 2016 Dataset'!Z24*(1+'TABLE 1 - 2018-19 Provisional'!AI$79)*(1+AI$79))-((AI$76*SUM('TABLE 4 - October 2016 Dataset'!F24:H24))+AI$77),0)</f>
        <v>0</v>
      </c>
      <c r="AJ24" s="166" t="str">
        <f>IF('TABLE 4 - October 2016 Dataset'!AA24="Yes",'TABLE 3 - Target Illustrative'!AJ$76*SUM('TABLE 4 - October 2016 Dataset'!F24:H24),"")</f>
        <v/>
      </c>
      <c r="AK24" s="140">
        <f t="shared" si="7"/>
        <v>0</v>
      </c>
      <c r="AL24" s="94">
        <f t="shared" si="8"/>
        <v>1061360.6940769255</v>
      </c>
      <c r="AM24" s="103"/>
      <c r="AN24" s="80">
        <f t="shared" si="2"/>
        <v>1041032.1640769255</v>
      </c>
      <c r="AO24" s="165">
        <f>AN24/SUM('TABLE 4 - October 2016 Dataset'!F24:H24)</f>
        <v>3458.5786181957656</v>
      </c>
      <c r="AP24" s="165">
        <f t="shared" si="3"/>
        <v>41.421381804234443</v>
      </c>
      <c r="AQ24" s="165">
        <f>AP24*SUM('TABLE 4 - October 2016 Dataset'!F24:H24)</f>
        <v>12467.835923074566</v>
      </c>
      <c r="AR24" s="94">
        <f t="shared" si="9"/>
        <v>1073828.53</v>
      </c>
      <c r="AS24" s="103"/>
      <c r="AT24" s="80">
        <f>N24-(AF24+AG24+'TABLE 4 - October 2016 Dataset'!Y24)</f>
        <v>834991.34820364893</v>
      </c>
      <c r="AU24" s="187">
        <f t="shared" si="10"/>
        <v>943500</v>
      </c>
      <c r="AV24" s="165">
        <f t="shared" si="11"/>
        <v>2774.0576352280696</v>
      </c>
      <c r="AW24" s="165">
        <f>AU24/SUM('TABLE 4 - October 2016 Dataset'!F24:H24)</f>
        <v>3134.5514950166112</v>
      </c>
      <c r="AX24" s="173">
        <f t="shared" si="12"/>
        <v>0.12995182768035884</v>
      </c>
      <c r="AY24" s="173">
        <f t="shared" si="13"/>
        <v>0</v>
      </c>
      <c r="AZ24" s="175">
        <f t="shared" si="14"/>
        <v>0</v>
      </c>
      <c r="BA24" s="165">
        <f t="shared" si="15"/>
        <v>0</v>
      </c>
      <c r="BB24" s="94">
        <f t="shared" si="16"/>
        <v>1073828.53</v>
      </c>
      <c r="BC24" s="103"/>
      <c r="BD24" s="80">
        <f t="shared" si="17"/>
        <v>965319.87820364896</v>
      </c>
      <c r="BE24" s="122">
        <f t="shared" si="18"/>
        <v>3207.0427847297306</v>
      </c>
      <c r="BF24" s="264">
        <f t="shared" si="19"/>
        <v>1073828.53</v>
      </c>
      <c r="BG24" s="81">
        <f>BF24/SUM('TABLE 4 - October 2016 Dataset'!F24:H24)</f>
        <v>3567.5366445182726</v>
      </c>
      <c r="BH24" s="264">
        <f t="shared" si="20"/>
        <v>108508.65179635107</v>
      </c>
      <c r="BI24" s="81">
        <f t="shared" si="20"/>
        <v>360.49385978854207</v>
      </c>
      <c r="BJ24" s="269">
        <f t="shared" si="21"/>
        <v>0.11240693810042894</v>
      </c>
      <c r="BK24" s="103"/>
      <c r="BL24" s="80">
        <f>'TABLE 5 - DfE Published Figures'!T23</f>
        <v>1074000</v>
      </c>
      <c r="BM24" s="84">
        <f t="shared" si="22"/>
        <v>0</v>
      </c>
      <c r="BO24" s="103"/>
    </row>
    <row r="25" spans="2:67" ht="15.75">
      <c r="B25" s="198">
        <v>2001</v>
      </c>
      <c r="C25" s="60" t="s">
        <v>31</v>
      </c>
      <c r="D25" s="204" t="s">
        <v>70</v>
      </c>
      <c r="F25" s="80">
        <v>426</v>
      </c>
      <c r="G25" s="163"/>
      <c r="H25" s="164">
        <v>0</v>
      </c>
      <c r="I25" s="94">
        <f t="shared" si="0"/>
        <v>426</v>
      </c>
      <c r="J25" s="103"/>
      <c r="K25" s="80">
        <v>1279867.1410463352</v>
      </c>
      <c r="L25" s="163"/>
      <c r="M25" s="163"/>
      <c r="N25" s="94">
        <f t="shared" si="1"/>
        <v>1279867.1410463352</v>
      </c>
      <c r="O25" s="103"/>
      <c r="P25" s="80">
        <f>P$76*'TABLE 4 - October 2016 Dataset'!F25</f>
        <v>1170217.74</v>
      </c>
      <c r="Q25" s="160"/>
      <c r="R25" s="161"/>
      <c r="S25" s="162">
        <f t="shared" si="4"/>
        <v>1170217.74</v>
      </c>
      <c r="T25" s="165">
        <f>T$76*'TABLE 4 - October 2016 Dataset'!I25</f>
        <v>4840.0000000000082</v>
      </c>
      <c r="U25" s="165">
        <f>U$76*'TABLE 4 - October 2016 Dataset'!J25</f>
        <v>7613.6170212765956</v>
      </c>
      <c r="V25" s="165">
        <f>V$76*'TABLE 4 - October 2016 Dataset'!K25</f>
        <v>0</v>
      </c>
      <c r="W25" s="165">
        <f>W$76*'TABLE 4 - October 2016 Dataset'!L25</f>
        <v>0</v>
      </c>
      <c r="X25" s="165">
        <f>X$76*'TABLE 4 - October 2016 Dataset'!M25</f>
        <v>390.91764705882383</v>
      </c>
      <c r="Y25" s="165">
        <f>Y$76*'TABLE 4 - October 2016 Dataset'!N25</f>
        <v>721.69411764705933</v>
      </c>
      <c r="Z25" s="165">
        <f>Z$76*'TABLE 4 - October 2016 Dataset'!O25</f>
        <v>0</v>
      </c>
      <c r="AA25" s="165">
        <f>AA$76*'TABLE 4 - October 2016 Dataset'!P25</f>
        <v>7617.8823529411802</v>
      </c>
      <c r="AB25" s="162">
        <f t="shared" si="5"/>
        <v>21184.111138923668</v>
      </c>
      <c r="AC25" s="140">
        <f>AC$76*'TABLE 4 - October 2016 Dataset'!Q25</f>
        <v>107646.80154038552</v>
      </c>
      <c r="AD25" s="140">
        <f>AD$76*'TABLE 4 - October 2016 Dataset'!R25</f>
        <v>1803.2054794520545</v>
      </c>
      <c r="AE25" s="140">
        <f>AE$76*'TABLE 4 - October 2016 Dataset'!S25</f>
        <v>0</v>
      </c>
      <c r="AF25" s="140">
        <f t="shared" si="6"/>
        <v>110000</v>
      </c>
      <c r="AG25" s="140">
        <f>IF('TABLE 4 - October 2016 Dataset'!X25="No",0,"*CHECK*")</f>
        <v>0</v>
      </c>
      <c r="AH25" s="140">
        <f>'TABLE 4 - October 2016 Dataset'!Y25</f>
        <v>3781.39</v>
      </c>
      <c r="AI25" s="170">
        <f>IF('TABLE 4 - October 2016 Dataset'!Z25&gt;0,('TABLE 4 - October 2016 Dataset'!Z25*(1+'TABLE 1 - 2018-19 Provisional'!AI$79)*(1+AI$79))-((AI$76*SUM('TABLE 4 - October 2016 Dataset'!F25:H25))+AI$77),0)</f>
        <v>0</v>
      </c>
      <c r="AJ25" s="166" t="str">
        <f>IF('TABLE 4 - October 2016 Dataset'!AA25="Yes",'TABLE 3 - Target Illustrative'!AJ$76*SUM('TABLE 4 - October 2016 Dataset'!F25:H25),"")</f>
        <v/>
      </c>
      <c r="AK25" s="140">
        <f t="shared" si="7"/>
        <v>0</v>
      </c>
      <c r="AL25" s="94">
        <f t="shared" si="8"/>
        <v>1414633.2481587611</v>
      </c>
      <c r="AM25" s="103"/>
      <c r="AN25" s="80">
        <f t="shared" si="2"/>
        <v>1410851.8581587612</v>
      </c>
      <c r="AO25" s="165">
        <f>AN25/SUM('TABLE 4 - October 2016 Dataset'!F25:H25)</f>
        <v>3311.8588219689227</v>
      </c>
      <c r="AP25" s="165">
        <f t="shared" si="3"/>
        <v>188.14117803107729</v>
      </c>
      <c r="AQ25" s="165">
        <f>AP25*SUM('TABLE 4 - October 2016 Dataset'!F25:H25)</f>
        <v>80148.141841238918</v>
      </c>
      <c r="AR25" s="94">
        <f t="shared" si="9"/>
        <v>1494781.39</v>
      </c>
      <c r="AS25" s="103"/>
      <c r="AT25" s="80">
        <f>N25-(AF25+AG25+'TABLE 4 - October 2016 Dataset'!Y25)</f>
        <v>1166085.7510463353</v>
      </c>
      <c r="AU25" s="187">
        <f t="shared" si="10"/>
        <v>1381000</v>
      </c>
      <c r="AV25" s="165">
        <f t="shared" si="11"/>
        <v>2737.2904954139326</v>
      </c>
      <c r="AW25" s="165">
        <f>AU25/SUM('TABLE 4 - October 2016 Dataset'!F25:H25)</f>
        <v>3241.7840375586857</v>
      </c>
      <c r="AX25" s="173">
        <f t="shared" si="12"/>
        <v>0.18430398344274512</v>
      </c>
      <c r="AY25" s="173">
        <f t="shared" si="13"/>
        <v>0</v>
      </c>
      <c r="AZ25" s="175">
        <f t="shared" si="14"/>
        <v>0</v>
      </c>
      <c r="BA25" s="165">
        <f t="shared" si="15"/>
        <v>0</v>
      </c>
      <c r="BB25" s="94">
        <f t="shared" si="16"/>
        <v>1494781.39</v>
      </c>
      <c r="BC25" s="103"/>
      <c r="BD25" s="80">
        <f t="shared" si="17"/>
        <v>1279867.1410463352</v>
      </c>
      <c r="BE25" s="122">
        <f t="shared" si="18"/>
        <v>3004.3829602026649</v>
      </c>
      <c r="BF25" s="264">
        <f t="shared" si="19"/>
        <v>1494781.39</v>
      </c>
      <c r="BG25" s="81">
        <f>BF25/SUM('TABLE 4 - October 2016 Dataset'!F25:H25)</f>
        <v>3508.8765023474175</v>
      </c>
      <c r="BH25" s="264">
        <f t="shared" si="20"/>
        <v>214914.24895366468</v>
      </c>
      <c r="BI25" s="81">
        <f t="shared" si="20"/>
        <v>504.49354214475261</v>
      </c>
      <c r="BJ25" s="269">
        <f t="shared" si="21"/>
        <v>0.16791918634458014</v>
      </c>
      <c r="BK25" s="103"/>
      <c r="BL25" s="80">
        <f>'TABLE 5 - DfE Published Figures'!T24</f>
        <v>1491000</v>
      </c>
      <c r="BM25" s="84">
        <f t="shared" si="22"/>
        <v>4000</v>
      </c>
      <c r="BO25" s="103"/>
    </row>
    <row r="26" spans="2:67" ht="15.75">
      <c r="B26" s="198">
        <v>3302</v>
      </c>
      <c r="C26" s="60" t="s">
        <v>32</v>
      </c>
      <c r="D26" s="204" t="s">
        <v>70</v>
      </c>
      <c r="F26" s="80">
        <v>144</v>
      </c>
      <c r="G26" s="163"/>
      <c r="H26" s="164">
        <v>0</v>
      </c>
      <c r="I26" s="94">
        <f t="shared" si="0"/>
        <v>144</v>
      </c>
      <c r="J26" s="103"/>
      <c r="K26" s="80">
        <v>540244.6335168042</v>
      </c>
      <c r="L26" s="163"/>
      <c r="M26" s="163"/>
      <c r="N26" s="94">
        <f t="shared" si="1"/>
        <v>540244.6335168042</v>
      </c>
      <c r="O26" s="103"/>
      <c r="P26" s="80">
        <f>P$76*'TABLE 4 - October 2016 Dataset'!F26</f>
        <v>395566.55999999994</v>
      </c>
      <c r="Q26" s="160"/>
      <c r="R26" s="161"/>
      <c r="S26" s="162">
        <f t="shared" si="4"/>
        <v>395566.55999999994</v>
      </c>
      <c r="T26" s="165">
        <f>T$76*'TABLE 4 - October 2016 Dataset'!I26</f>
        <v>3960</v>
      </c>
      <c r="U26" s="165">
        <f>U$76*'TABLE 4 - October 2016 Dataset'!J26</f>
        <v>11581.276595744681</v>
      </c>
      <c r="V26" s="165">
        <f>V$76*'TABLE 4 - October 2016 Dataset'!K26</f>
        <v>0</v>
      </c>
      <c r="W26" s="165">
        <f>W$76*'TABLE 4 - October 2016 Dataset'!L26</f>
        <v>1268.81118881119</v>
      </c>
      <c r="X26" s="165">
        <f>X$76*'TABLE 4 - October 2016 Dataset'!M26</f>
        <v>0</v>
      </c>
      <c r="Y26" s="165">
        <f>Y$76*'TABLE 4 - October 2016 Dataset'!N26</f>
        <v>2175.1048951048974</v>
      </c>
      <c r="Z26" s="165">
        <f>Z$76*'TABLE 4 - October 2016 Dataset'!O26</f>
        <v>0</v>
      </c>
      <c r="AA26" s="165">
        <f>AA$76*'TABLE 4 - October 2016 Dataset'!P26</f>
        <v>9465.7342657342761</v>
      </c>
      <c r="AB26" s="162">
        <f t="shared" si="5"/>
        <v>28450.926945395047</v>
      </c>
      <c r="AC26" s="140">
        <f>AC$76*'TABLE 4 - October 2016 Dataset'!Q26</f>
        <v>33063.557685430256</v>
      </c>
      <c r="AD26" s="140">
        <f>AD$76*'TABLE 4 - October 2016 Dataset'!R26</f>
        <v>598.06451612903243</v>
      </c>
      <c r="AE26" s="140">
        <f>AE$76*'TABLE 4 - October 2016 Dataset'!S26</f>
        <v>0</v>
      </c>
      <c r="AF26" s="140">
        <f t="shared" si="6"/>
        <v>110000</v>
      </c>
      <c r="AG26" s="140">
        <f>IF('TABLE 4 - October 2016 Dataset'!X26="No",0,"*CHECK*")</f>
        <v>0</v>
      </c>
      <c r="AH26" s="140">
        <f>'TABLE 4 - October 2016 Dataset'!Y26</f>
        <v>1409.56</v>
      </c>
      <c r="AI26" s="170">
        <f>IF('TABLE 4 - October 2016 Dataset'!Z26&gt;0,('TABLE 4 - October 2016 Dataset'!Z26*(1+'TABLE 1 - 2018-19 Provisional'!AI$79)*(1+AI$79))-((AI$76*SUM('TABLE 4 - October 2016 Dataset'!F26:H26))+AI$77),0)</f>
        <v>0</v>
      </c>
      <c r="AJ26" s="166" t="str">
        <f>IF('TABLE 4 - October 2016 Dataset'!AA26="Yes",'TABLE 3 - Target Illustrative'!AJ$76*SUM('TABLE 4 - October 2016 Dataset'!F26:H26),"")</f>
        <v/>
      </c>
      <c r="AK26" s="140">
        <f t="shared" si="7"/>
        <v>0</v>
      </c>
      <c r="AL26" s="94">
        <f t="shared" si="8"/>
        <v>569088.66914695431</v>
      </c>
      <c r="AM26" s="103"/>
      <c r="AN26" s="80">
        <f t="shared" si="2"/>
        <v>567679.10914695426</v>
      </c>
      <c r="AO26" s="165">
        <f>AN26/SUM('TABLE 4 - October 2016 Dataset'!F26:H26)</f>
        <v>3942.2160357427379</v>
      </c>
      <c r="AP26" s="165">
        <f t="shared" si="3"/>
        <v>0</v>
      </c>
      <c r="AQ26" s="165">
        <f>AP26*SUM('TABLE 4 - October 2016 Dataset'!F26:H26)</f>
        <v>0</v>
      </c>
      <c r="AR26" s="94">
        <f t="shared" si="9"/>
        <v>569088.66914695431</v>
      </c>
      <c r="AS26" s="103"/>
      <c r="AT26" s="80">
        <f>N26-(AF26+AG26+'TABLE 4 - October 2016 Dataset'!Y26)</f>
        <v>428835.0735168042</v>
      </c>
      <c r="AU26" s="187">
        <f t="shared" si="10"/>
        <v>457679.10914695432</v>
      </c>
      <c r="AV26" s="165">
        <f t="shared" si="11"/>
        <v>2978.021343866696</v>
      </c>
      <c r="AW26" s="165">
        <f>AU26/SUM('TABLE 4 - October 2016 Dataset'!F26:H26)</f>
        <v>3178.3271468538496</v>
      </c>
      <c r="AX26" s="173">
        <f t="shared" si="12"/>
        <v>6.7261372521620011E-2</v>
      </c>
      <c r="AY26" s="173">
        <f t="shared" si="13"/>
        <v>0</v>
      </c>
      <c r="AZ26" s="175">
        <f t="shared" si="14"/>
        <v>0</v>
      </c>
      <c r="BA26" s="165">
        <f t="shared" si="15"/>
        <v>0</v>
      </c>
      <c r="BB26" s="94">
        <f t="shared" si="16"/>
        <v>569088.66914695431</v>
      </c>
      <c r="BC26" s="103"/>
      <c r="BD26" s="80">
        <f t="shared" si="17"/>
        <v>540244.6335168042</v>
      </c>
      <c r="BE26" s="122">
        <f t="shared" si="18"/>
        <v>3751.6988438666958</v>
      </c>
      <c r="BF26" s="264">
        <f t="shared" si="19"/>
        <v>569088.66914695431</v>
      </c>
      <c r="BG26" s="81">
        <f>BF26/SUM('TABLE 4 - October 2016 Dataset'!F26:H26)</f>
        <v>3952.0046468538494</v>
      </c>
      <c r="BH26" s="264">
        <f t="shared" si="20"/>
        <v>28844.035630150116</v>
      </c>
      <c r="BI26" s="81">
        <f t="shared" si="20"/>
        <v>200.30580298715358</v>
      </c>
      <c r="BJ26" s="269">
        <f t="shared" si="21"/>
        <v>5.3390693476000867E-2</v>
      </c>
      <c r="BK26" s="103"/>
      <c r="BL26" s="80">
        <f>'TABLE 5 - DfE Published Figures'!T25</f>
        <v>568000</v>
      </c>
      <c r="BM26" s="84">
        <f t="shared" si="22"/>
        <v>1000</v>
      </c>
      <c r="BO26" s="103"/>
    </row>
    <row r="27" spans="2:67" ht="15.75">
      <c r="B27" s="198">
        <v>2028</v>
      </c>
      <c r="C27" s="60" t="s">
        <v>33</v>
      </c>
      <c r="D27" s="204"/>
      <c r="F27" s="80">
        <v>280</v>
      </c>
      <c r="G27" s="163"/>
      <c r="H27" s="164">
        <v>0</v>
      </c>
      <c r="I27" s="94">
        <f t="shared" si="0"/>
        <v>280</v>
      </c>
      <c r="J27" s="103"/>
      <c r="K27" s="80">
        <v>1284243.1281264999</v>
      </c>
      <c r="L27" s="163"/>
      <c r="M27" s="108">
        <v>3744.9700000000298</v>
      </c>
      <c r="N27" s="94">
        <f t="shared" si="1"/>
        <v>1287988.0981264999</v>
      </c>
      <c r="O27" s="103"/>
      <c r="P27" s="80">
        <f>P$76*'TABLE 4 - October 2016 Dataset'!F27</f>
        <v>769157.2</v>
      </c>
      <c r="Q27" s="160"/>
      <c r="R27" s="161"/>
      <c r="S27" s="162">
        <f t="shared" si="4"/>
        <v>769157.2</v>
      </c>
      <c r="T27" s="165">
        <f>T$76*'TABLE 4 - October 2016 Dataset'!I27</f>
        <v>26840.000000000018</v>
      </c>
      <c r="U27" s="165">
        <f>U$76*'TABLE 4 - October 2016 Dataset'!J27</f>
        <v>61356.52173913044</v>
      </c>
      <c r="V27" s="165">
        <f>V$76*'TABLE 4 - October 2016 Dataset'!K27</f>
        <v>0</v>
      </c>
      <c r="W27" s="165">
        <f>W$76*'TABLE 4 - October 2016 Dataset'!L27</f>
        <v>0</v>
      </c>
      <c r="X27" s="165">
        <f>X$76*'TABLE 4 - October 2016 Dataset'!M27</f>
        <v>14141.007194244621</v>
      </c>
      <c r="Y27" s="165">
        <f>Y$76*'TABLE 4 - October 2016 Dataset'!N27</f>
        <v>24656.115107913709</v>
      </c>
      <c r="Z27" s="165">
        <f>Z$76*'TABLE 4 - October 2016 Dataset'!O27</f>
        <v>241.72661870503575</v>
      </c>
      <c r="AA27" s="165">
        <f>AA$76*'TABLE 4 - October 2016 Dataset'!P27</f>
        <v>20143.884892086309</v>
      </c>
      <c r="AB27" s="162">
        <f t="shared" si="5"/>
        <v>147379.25555208014</v>
      </c>
      <c r="AC27" s="140">
        <f>AC$76*'TABLE 4 - October 2016 Dataset'!Q27</f>
        <v>105600.02599484436</v>
      </c>
      <c r="AD27" s="140">
        <f>AD$76*'TABLE 4 - October 2016 Dataset'!R27</f>
        <v>6162.3931623931576</v>
      </c>
      <c r="AE27" s="140">
        <f>AE$76*'TABLE 4 - October 2016 Dataset'!S27</f>
        <v>0</v>
      </c>
      <c r="AF27" s="140">
        <f t="shared" si="6"/>
        <v>110000</v>
      </c>
      <c r="AG27" s="140">
        <f>IF('TABLE 4 - October 2016 Dataset'!X27="No",0,"*CHECK*")</f>
        <v>0</v>
      </c>
      <c r="AH27" s="140">
        <f>'TABLE 4 - October 2016 Dataset'!Y27</f>
        <v>39020.410000000003</v>
      </c>
      <c r="AI27" s="171">
        <f>IF('TABLE 4 - October 2016 Dataset'!Z27&gt;0,('TABLE 4 - October 2016 Dataset'!Z27*(1+'TABLE 1 - 2018-19 Provisional'!AI$79)*(1+AI$79))-((AI$76*SUM('TABLE 4 - October 2016 Dataset'!F27:H27))+AI$77),0)</f>
        <v>187731.50399999996</v>
      </c>
      <c r="AJ27" s="166" t="str">
        <f>IF('TABLE 4 - October 2016 Dataset'!AA27="Yes",'TABLE 3 - Target Illustrative'!AJ$76*SUM('TABLE 4 - October 2016 Dataset'!F27:H27),"")</f>
        <v/>
      </c>
      <c r="AK27" s="140">
        <f t="shared" si="7"/>
        <v>0</v>
      </c>
      <c r="AL27" s="94">
        <f t="shared" si="8"/>
        <v>1365050.7887093173</v>
      </c>
      <c r="AM27" s="103"/>
      <c r="AN27" s="80">
        <f t="shared" si="2"/>
        <v>1138298.8747093175</v>
      </c>
      <c r="AO27" s="165">
        <f>AN27/SUM('TABLE 4 - October 2016 Dataset'!F27:H27)</f>
        <v>4065.3531239618483</v>
      </c>
      <c r="AP27" s="165">
        <f t="shared" si="3"/>
        <v>0</v>
      </c>
      <c r="AQ27" s="165">
        <f>AP27*SUM('TABLE 4 - October 2016 Dataset'!F27:H27)</f>
        <v>0</v>
      </c>
      <c r="AR27" s="94">
        <f t="shared" si="9"/>
        <v>1365050.7887093173</v>
      </c>
      <c r="AS27" s="103"/>
      <c r="AT27" s="80">
        <f>N27-(AF27+AG27+'TABLE 4 - October 2016 Dataset'!Y27)</f>
        <v>1138967.6881265</v>
      </c>
      <c r="AU27" s="187">
        <f t="shared" si="10"/>
        <v>1216030.3787093174</v>
      </c>
      <c r="AV27" s="165">
        <f t="shared" si="11"/>
        <v>4067.7417433089286</v>
      </c>
      <c r="AW27" s="165">
        <f>AU27/SUM('TABLE 4 - October 2016 Dataset'!F27:H27)</f>
        <v>4342.9656382475623</v>
      </c>
      <c r="AX27" s="173">
        <f t="shared" si="12"/>
        <v>6.766012011243161E-2</v>
      </c>
      <c r="AY27" s="173">
        <f t="shared" si="13"/>
        <v>0</v>
      </c>
      <c r="AZ27" s="175">
        <f t="shared" si="14"/>
        <v>0</v>
      </c>
      <c r="BA27" s="165">
        <f t="shared" si="15"/>
        <v>0</v>
      </c>
      <c r="BB27" s="94">
        <f t="shared" si="16"/>
        <v>1365050.7887093173</v>
      </c>
      <c r="BC27" s="103"/>
      <c r="BD27" s="80">
        <f t="shared" si="17"/>
        <v>1287988.0981264999</v>
      </c>
      <c r="BE27" s="122">
        <f t="shared" si="18"/>
        <v>4599.957493308928</v>
      </c>
      <c r="BF27" s="264">
        <f t="shared" si="19"/>
        <v>1365050.7887093173</v>
      </c>
      <c r="BG27" s="81">
        <f>BF27/SUM('TABLE 4 - October 2016 Dataset'!F27:H27)</f>
        <v>4875.1813882475617</v>
      </c>
      <c r="BH27" s="264">
        <f t="shared" si="20"/>
        <v>77062.69058281742</v>
      </c>
      <c r="BI27" s="81">
        <f t="shared" si="20"/>
        <v>275.22389493863375</v>
      </c>
      <c r="BJ27" s="269">
        <f t="shared" si="21"/>
        <v>5.9831834389550961E-2</v>
      </c>
      <c r="BK27" s="103"/>
      <c r="BL27" s="80">
        <f>'TABLE 5 - DfE Published Figures'!T26</f>
        <v>1367000</v>
      </c>
      <c r="BM27" s="84">
        <f t="shared" si="22"/>
        <v>-2000</v>
      </c>
      <c r="BO27" s="103"/>
    </row>
    <row r="28" spans="2:67" ht="15.75">
      <c r="B28" s="198">
        <v>2180</v>
      </c>
      <c r="C28" s="60" t="s">
        <v>34</v>
      </c>
      <c r="D28" s="204" t="s">
        <v>74</v>
      </c>
      <c r="F28" s="80">
        <v>418</v>
      </c>
      <c r="G28" s="163"/>
      <c r="H28" s="164">
        <v>0</v>
      </c>
      <c r="I28" s="94">
        <f t="shared" si="0"/>
        <v>418</v>
      </c>
      <c r="J28" s="103"/>
      <c r="K28" s="80">
        <v>1285823.311554234</v>
      </c>
      <c r="L28" s="163"/>
      <c r="M28" s="163"/>
      <c r="N28" s="94">
        <f t="shared" si="1"/>
        <v>1285823.311554234</v>
      </c>
      <c r="O28" s="103"/>
      <c r="P28" s="80">
        <f>P$76*'TABLE 4 - October 2016 Dataset'!F28</f>
        <v>1148241.8199999998</v>
      </c>
      <c r="Q28" s="160"/>
      <c r="R28" s="161"/>
      <c r="S28" s="162">
        <f t="shared" si="4"/>
        <v>1148241.8199999998</v>
      </c>
      <c r="T28" s="165">
        <f>T$76*'TABLE 4 - October 2016 Dataset'!I28</f>
        <v>7920</v>
      </c>
      <c r="U28" s="165">
        <f>U$76*'TABLE 4 - October 2016 Dataset'!J28</f>
        <v>20818.834951456309</v>
      </c>
      <c r="V28" s="165">
        <f>V$76*'TABLE 4 - October 2016 Dataset'!K28</f>
        <v>0</v>
      </c>
      <c r="W28" s="165">
        <f>W$76*'TABLE 4 - October 2016 Dataset'!L28</f>
        <v>844.03846153846189</v>
      </c>
      <c r="X28" s="165">
        <f>X$76*'TABLE 4 - October 2016 Dataset'!M28</f>
        <v>783.75000000000034</v>
      </c>
      <c r="Y28" s="165">
        <f>Y$76*'TABLE 4 - October 2016 Dataset'!N28</f>
        <v>3979.0384615384628</v>
      </c>
      <c r="Z28" s="165">
        <f>Z$76*'TABLE 4 - October 2016 Dataset'!O28</f>
        <v>2652.6923076923085</v>
      </c>
      <c r="AA28" s="165">
        <f>AA$76*'TABLE 4 - October 2016 Dataset'!P28</f>
        <v>3215.384615384618</v>
      </c>
      <c r="AB28" s="162">
        <f t="shared" si="5"/>
        <v>40213.738797610153</v>
      </c>
      <c r="AC28" s="140">
        <f>AC$76*'TABLE 4 - October 2016 Dataset'!Q28</f>
        <v>122556.54086446505</v>
      </c>
      <c r="AD28" s="140">
        <f>AD$76*'TABLE 4 - October 2016 Dataset'!R28</f>
        <v>8895.4545454545496</v>
      </c>
      <c r="AE28" s="140">
        <f>AE$76*'TABLE 4 - October 2016 Dataset'!S28</f>
        <v>0</v>
      </c>
      <c r="AF28" s="140">
        <f t="shared" si="6"/>
        <v>110000</v>
      </c>
      <c r="AG28" s="140">
        <f>IF('TABLE 4 - October 2016 Dataset'!X28="No",0,"*CHECK*")</f>
        <v>0</v>
      </c>
      <c r="AH28" s="140">
        <f>'TABLE 4 - October 2016 Dataset'!Y28</f>
        <v>4176</v>
      </c>
      <c r="AI28" s="170">
        <f>IF('TABLE 4 - October 2016 Dataset'!Z28&gt;0,('TABLE 4 - October 2016 Dataset'!Z28*(1+'TABLE 1 - 2018-19 Provisional'!AI$79)*(1+AI$79))-((AI$76*SUM('TABLE 4 - October 2016 Dataset'!F28:H28))+AI$77),0)</f>
        <v>0</v>
      </c>
      <c r="AJ28" s="166" t="str">
        <f>IF('TABLE 4 - October 2016 Dataset'!AA28="Yes",'TABLE 3 - Target Illustrative'!AJ$76*SUM('TABLE 4 - October 2016 Dataset'!F28:H28),"")</f>
        <v/>
      </c>
      <c r="AK28" s="140">
        <f t="shared" si="7"/>
        <v>0</v>
      </c>
      <c r="AL28" s="94">
        <f t="shared" si="8"/>
        <v>1434083.5542075296</v>
      </c>
      <c r="AM28" s="103"/>
      <c r="AN28" s="80">
        <f t="shared" si="2"/>
        <v>1429907.5542075296</v>
      </c>
      <c r="AO28" s="165">
        <f>AN28/SUM('TABLE 4 - October 2016 Dataset'!F28:H28)</f>
        <v>3420.8314693960037</v>
      </c>
      <c r="AP28" s="165">
        <f t="shared" si="3"/>
        <v>79.16853060399626</v>
      </c>
      <c r="AQ28" s="165">
        <f>AP28*SUM('TABLE 4 - October 2016 Dataset'!F28:H28)</f>
        <v>33092.445792470433</v>
      </c>
      <c r="AR28" s="94">
        <f t="shared" si="9"/>
        <v>1467176</v>
      </c>
      <c r="AS28" s="103"/>
      <c r="AT28" s="80">
        <f>N28-(AF28+AG28+'TABLE 4 - October 2016 Dataset'!Y28)</f>
        <v>1171647.311554234</v>
      </c>
      <c r="AU28" s="187">
        <f t="shared" si="10"/>
        <v>1353000</v>
      </c>
      <c r="AV28" s="165">
        <f t="shared" si="11"/>
        <v>2802.9839989335742</v>
      </c>
      <c r="AW28" s="165">
        <f>AU28/SUM('TABLE 4 - October 2016 Dataset'!F28:H28)</f>
        <v>3236.8421052631579</v>
      </c>
      <c r="AX28" s="173">
        <f t="shared" si="12"/>
        <v>0.15478436783608096</v>
      </c>
      <c r="AY28" s="173">
        <f t="shared" si="13"/>
        <v>0</v>
      </c>
      <c r="AZ28" s="175">
        <f t="shared" si="14"/>
        <v>0</v>
      </c>
      <c r="BA28" s="165">
        <f t="shared" si="15"/>
        <v>0</v>
      </c>
      <c r="BB28" s="94">
        <f t="shared" si="16"/>
        <v>1467176</v>
      </c>
      <c r="BC28" s="103"/>
      <c r="BD28" s="80">
        <f t="shared" si="17"/>
        <v>1285823.311554234</v>
      </c>
      <c r="BE28" s="122">
        <f t="shared" si="18"/>
        <v>3076.1323242924259</v>
      </c>
      <c r="BF28" s="264">
        <f t="shared" si="19"/>
        <v>1467176</v>
      </c>
      <c r="BG28" s="81">
        <f>BF28/SUM('TABLE 4 - October 2016 Dataset'!F28:H28)</f>
        <v>3509.9904306220096</v>
      </c>
      <c r="BH28" s="264">
        <f t="shared" si="20"/>
        <v>181352.68844576599</v>
      </c>
      <c r="BI28" s="81">
        <f t="shared" si="20"/>
        <v>433.85810632958373</v>
      </c>
      <c r="BJ28" s="269">
        <f t="shared" si="21"/>
        <v>0.14104013110989302</v>
      </c>
      <c r="BK28" s="103"/>
      <c r="BL28" s="80">
        <f>'TABLE 5 - DfE Published Figures'!T27</f>
        <v>1463000</v>
      </c>
      <c r="BM28" s="84">
        <f t="shared" si="22"/>
        <v>4000</v>
      </c>
      <c r="BO28" s="103"/>
    </row>
    <row r="29" spans="2:67" ht="15.75">
      <c r="B29" s="198">
        <v>2011</v>
      </c>
      <c r="C29" s="60" t="s">
        <v>36</v>
      </c>
      <c r="D29" s="204" t="s">
        <v>73</v>
      </c>
      <c r="F29" s="80">
        <v>415</v>
      </c>
      <c r="G29" s="163"/>
      <c r="H29" s="164">
        <v>0</v>
      </c>
      <c r="I29" s="94">
        <f t="shared" si="0"/>
        <v>415</v>
      </c>
      <c r="J29" s="103"/>
      <c r="K29" s="80">
        <v>1292259.8251200963</v>
      </c>
      <c r="L29" s="163"/>
      <c r="M29" s="163"/>
      <c r="N29" s="94">
        <f t="shared" si="1"/>
        <v>1292259.8251200963</v>
      </c>
      <c r="O29" s="103"/>
      <c r="P29" s="80">
        <f>P$76*'TABLE 4 - October 2016 Dataset'!F29</f>
        <v>1140000.8499999999</v>
      </c>
      <c r="Q29" s="160"/>
      <c r="R29" s="161"/>
      <c r="S29" s="162">
        <f t="shared" si="4"/>
        <v>1140000.8499999999</v>
      </c>
      <c r="T29" s="165">
        <f>T$76*'TABLE 4 - October 2016 Dataset'!I29</f>
        <v>8360.0000000000036</v>
      </c>
      <c r="U29" s="165">
        <f>U$76*'TABLE 4 - October 2016 Dataset'!J29</f>
        <v>23865.194805194802</v>
      </c>
      <c r="V29" s="165">
        <f>V$76*'TABLE 4 - October 2016 Dataset'!K29</f>
        <v>0</v>
      </c>
      <c r="W29" s="165">
        <f>W$76*'TABLE 4 - October 2016 Dataset'!L29</f>
        <v>0</v>
      </c>
      <c r="X29" s="165">
        <f>X$76*'TABLE 4 - October 2016 Dataset'!M29</f>
        <v>1978.6063569682112</v>
      </c>
      <c r="Y29" s="165">
        <f>Y$76*'TABLE 4 - October 2016 Dataset'!N29</f>
        <v>365.2811735941313</v>
      </c>
      <c r="Z29" s="165">
        <f>Z$76*'TABLE 4 - October 2016 Dataset'!O29</f>
        <v>2191.68704156479</v>
      </c>
      <c r="AA29" s="165">
        <f>AA$76*'TABLE 4 - October 2016 Dataset'!P29</f>
        <v>1420.5378973105157</v>
      </c>
      <c r="AB29" s="162">
        <f t="shared" si="5"/>
        <v>38181.307274632454</v>
      </c>
      <c r="AC29" s="140">
        <f>AC$76*'TABLE 4 - October 2016 Dataset'!Q29</f>
        <v>92023.874627596728</v>
      </c>
      <c r="AD29" s="140">
        <f>AD$76*'TABLE 4 - October 2016 Dataset'!R29</f>
        <v>16904.802259887005</v>
      </c>
      <c r="AE29" s="140">
        <f>AE$76*'TABLE 4 - October 2016 Dataset'!S29</f>
        <v>0</v>
      </c>
      <c r="AF29" s="140">
        <f t="shared" si="6"/>
        <v>110000</v>
      </c>
      <c r="AG29" s="140">
        <f>IF('TABLE 4 - October 2016 Dataset'!X29="No",0,"*CHECK*")</f>
        <v>0</v>
      </c>
      <c r="AH29" s="140">
        <f>'TABLE 4 - October 2016 Dataset'!Y29</f>
        <v>7687.55</v>
      </c>
      <c r="AI29" s="170">
        <f>IF('TABLE 4 - October 2016 Dataset'!Z29&gt;0,('TABLE 4 - October 2016 Dataset'!Z29*(1+'TABLE 1 - 2018-19 Provisional'!AI$79)*(1+AI$79))-((AI$76*SUM('TABLE 4 - October 2016 Dataset'!F29:H29))+AI$77),0)</f>
        <v>0</v>
      </c>
      <c r="AJ29" s="166" t="str">
        <f>IF('TABLE 4 - October 2016 Dataset'!AA29="Yes",'TABLE 3 - Target Illustrative'!AJ$76*SUM('TABLE 4 - October 2016 Dataset'!F29:H29),"")</f>
        <v/>
      </c>
      <c r="AK29" s="140">
        <f t="shared" si="7"/>
        <v>0</v>
      </c>
      <c r="AL29" s="94">
        <f t="shared" si="8"/>
        <v>1404798.3841621161</v>
      </c>
      <c r="AM29" s="103"/>
      <c r="AN29" s="80">
        <f t="shared" si="2"/>
        <v>1397110.8341621161</v>
      </c>
      <c r="AO29" s="165">
        <f>AN29/SUM('TABLE 4 - October 2016 Dataset'!F29:H29)</f>
        <v>3366.5321305111229</v>
      </c>
      <c r="AP29" s="165">
        <f t="shared" si="3"/>
        <v>133.46786948887711</v>
      </c>
      <c r="AQ29" s="165">
        <f>AP29*SUM('TABLE 4 - October 2016 Dataset'!F29:H29)</f>
        <v>55389.165837884</v>
      </c>
      <c r="AR29" s="94">
        <f t="shared" si="9"/>
        <v>1460187.55</v>
      </c>
      <c r="AS29" s="103"/>
      <c r="AT29" s="80">
        <f>N29-(AF29+AG29+'TABLE 4 - October 2016 Dataset'!Y29)</f>
        <v>1174572.2751200963</v>
      </c>
      <c r="AU29" s="187">
        <f t="shared" si="10"/>
        <v>1342500</v>
      </c>
      <c r="AV29" s="165">
        <f t="shared" si="11"/>
        <v>2830.2946388436053</v>
      </c>
      <c r="AW29" s="165">
        <f>AU29/SUM('TABLE 4 - October 2016 Dataset'!F29:H29)</f>
        <v>3234.9397590361446</v>
      </c>
      <c r="AX29" s="173">
        <f t="shared" si="12"/>
        <v>0.14296925650040038</v>
      </c>
      <c r="AY29" s="173">
        <f t="shared" si="13"/>
        <v>0</v>
      </c>
      <c r="AZ29" s="175">
        <f t="shared" si="14"/>
        <v>0</v>
      </c>
      <c r="BA29" s="165">
        <f t="shared" si="15"/>
        <v>0</v>
      </c>
      <c r="BB29" s="94">
        <f t="shared" si="16"/>
        <v>1460187.55</v>
      </c>
      <c r="BC29" s="103"/>
      <c r="BD29" s="80">
        <f t="shared" si="17"/>
        <v>1292259.8251200963</v>
      </c>
      <c r="BE29" s="122">
        <f t="shared" si="18"/>
        <v>3113.8790966749311</v>
      </c>
      <c r="BF29" s="264">
        <f t="shared" si="19"/>
        <v>1460187.55</v>
      </c>
      <c r="BG29" s="81">
        <f>BF29/SUM('TABLE 4 - October 2016 Dataset'!F29:H29)</f>
        <v>3518.5242168674699</v>
      </c>
      <c r="BH29" s="264">
        <f t="shared" si="20"/>
        <v>167927.72487990372</v>
      </c>
      <c r="BI29" s="81">
        <f t="shared" si="20"/>
        <v>404.6451201925388</v>
      </c>
      <c r="BJ29" s="269">
        <f t="shared" si="21"/>
        <v>0.12994888614160641</v>
      </c>
      <c r="BK29" s="103"/>
      <c r="BL29" s="80">
        <f>'TABLE 5 - DfE Published Figures'!T28</f>
        <v>1453000</v>
      </c>
      <c r="BM29" s="84">
        <f t="shared" si="22"/>
        <v>7000</v>
      </c>
      <c r="BO29" s="103"/>
    </row>
    <row r="30" spans="2:67" ht="15.75">
      <c r="B30" s="198">
        <v>2428</v>
      </c>
      <c r="C30" s="60" t="s">
        <v>37</v>
      </c>
      <c r="D30" s="204"/>
      <c r="F30" s="80">
        <v>283</v>
      </c>
      <c r="G30" s="163"/>
      <c r="H30" s="164">
        <v>0</v>
      </c>
      <c r="I30" s="94">
        <f t="shared" si="0"/>
        <v>283</v>
      </c>
      <c r="J30" s="103"/>
      <c r="K30" s="80">
        <v>974350.61594525084</v>
      </c>
      <c r="L30" s="163"/>
      <c r="M30" s="163"/>
      <c r="N30" s="94">
        <f t="shared" si="1"/>
        <v>974350.61594525084</v>
      </c>
      <c r="O30" s="103"/>
      <c r="P30" s="80">
        <f>P$76*'TABLE 4 - October 2016 Dataset'!F30</f>
        <v>777398.16999999993</v>
      </c>
      <c r="Q30" s="160"/>
      <c r="R30" s="161"/>
      <c r="S30" s="162">
        <f t="shared" si="4"/>
        <v>777398.16999999993</v>
      </c>
      <c r="T30" s="165">
        <f>T$76*'TABLE 4 - October 2016 Dataset'!I30</f>
        <v>11439.999999999996</v>
      </c>
      <c r="U30" s="165">
        <f>U$76*'TABLE 4 - October 2016 Dataset'!J30</f>
        <v>25141.354838709678</v>
      </c>
      <c r="V30" s="165">
        <f>V$76*'TABLE 4 - October 2016 Dataset'!K30</f>
        <v>0</v>
      </c>
      <c r="W30" s="165">
        <f>W$76*'TABLE 4 - October 2016 Dataset'!L30</f>
        <v>3371.9148936170172</v>
      </c>
      <c r="X30" s="165">
        <f>X$76*'TABLE 4 - October 2016 Dataset'!M30</f>
        <v>0</v>
      </c>
      <c r="Y30" s="165">
        <f>Y$76*'TABLE 4 - October 2016 Dataset'!N30</f>
        <v>3251.4893617021298</v>
      </c>
      <c r="Z30" s="165">
        <f>Z$76*'TABLE 4 - October 2016 Dataset'!O30</f>
        <v>240.85106382978711</v>
      </c>
      <c r="AA30" s="165">
        <f>AA$76*'TABLE 4 - October 2016 Dataset'!P30</f>
        <v>2207.8014184397189</v>
      </c>
      <c r="AB30" s="162">
        <f t="shared" si="5"/>
        <v>45653.411576298327</v>
      </c>
      <c r="AC30" s="140">
        <f>AC$76*'TABLE 4 - October 2016 Dataset'!Q30</f>
        <v>71264.980152490796</v>
      </c>
      <c r="AD30" s="140">
        <f>AD$76*'TABLE 4 - October 2016 Dataset'!R30</f>
        <v>8641.0079051383364</v>
      </c>
      <c r="AE30" s="140">
        <f>AE$76*'TABLE 4 - October 2016 Dataset'!S30</f>
        <v>0</v>
      </c>
      <c r="AF30" s="140">
        <f t="shared" si="6"/>
        <v>110000</v>
      </c>
      <c r="AG30" s="140">
        <f>IF('TABLE 4 - October 2016 Dataset'!X30="No",0,"*CHECK*")</f>
        <v>0</v>
      </c>
      <c r="AH30" s="140">
        <f>'TABLE 4 - October 2016 Dataset'!Y30</f>
        <v>28560</v>
      </c>
      <c r="AI30" s="170">
        <f>IF('TABLE 4 - October 2016 Dataset'!Z30&gt;0,('TABLE 4 - October 2016 Dataset'!Z30*(1+'TABLE 1 - 2018-19 Provisional'!AI$79)*(1+AI$79))-((AI$76*SUM('TABLE 4 - October 2016 Dataset'!F30:H30))+AI$77),0)</f>
        <v>0</v>
      </c>
      <c r="AJ30" s="166" t="str">
        <f>IF('TABLE 4 - October 2016 Dataset'!AA30="Yes",'TABLE 3 - Target Illustrative'!AJ$76*SUM('TABLE 4 - October 2016 Dataset'!F30:H30),"")</f>
        <v/>
      </c>
      <c r="AK30" s="140">
        <f t="shared" si="7"/>
        <v>0</v>
      </c>
      <c r="AL30" s="94">
        <f t="shared" si="8"/>
        <v>1041517.5696339273</v>
      </c>
      <c r="AM30" s="103"/>
      <c r="AN30" s="80">
        <f t="shared" si="2"/>
        <v>1012957.5696339273</v>
      </c>
      <c r="AO30" s="165">
        <f>AN30/SUM('TABLE 4 - October 2016 Dataset'!F30:H30)</f>
        <v>3579.3553697311918</v>
      </c>
      <c r="AP30" s="165">
        <f t="shared" si="3"/>
        <v>0</v>
      </c>
      <c r="AQ30" s="165">
        <f>AP30*SUM('TABLE 4 - October 2016 Dataset'!F30:H30)</f>
        <v>0</v>
      </c>
      <c r="AR30" s="94">
        <f t="shared" si="9"/>
        <v>1041517.5696339273</v>
      </c>
      <c r="AS30" s="103"/>
      <c r="AT30" s="80">
        <f>N30-(AF30+AG30+'TABLE 4 - October 2016 Dataset'!Y30)</f>
        <v>835790.61594525084</v>
      </c>
      <c r="AU30" s="187">
        <f t="shared" si="10"/>
        <v>902957.56963392731</v>
      </c>
      <c r="AV30" s="165">
        <f t="shared" si="11"/>
        <v>2953.3237312553033</v>
      </c>
      <c r="AW30" s="165">
        <f>AU30/SUM('TABLE 4 - October 2016 Dataset'!F30:H30)</f>
        <v>3190.6627902258915</v>
      </c>
      <c r="AX30" s="173">
        <f t="shared" si="12"/>
        <v>8.0363373801120019E-2</v>
      </c>
      <c r="AY30" s="173">
        <f t="shared" si="13"/>
        <v>0</v>
      </c>
      <c r="AZ30" s="175">
        <f t="shared" si="14"/>
        <v>0</v>
      </c>
      <c r="BA30" s="165">
        <f t="shared" si="15"/>
        <v>0</v>
      </c>
      <c r="BB30" s="94">
        <f t="shared" si="16"/>
        <v>1041517.5696339273</v>
      </c>
      <c r="BC30" s="103"/>
      <c r="BD30" s="80">
        <f t="shared" si="17"/>
        <v>974350.61594525084</v>
      </c>
      <c r="BE30" s="122">
        <f t="shared" si="18"/>
        <v>3442.9350386757978</v>
      </c>
      <c r="BF30" s="264">
        <f t="shared" si="19"/>
        <v>1041517.5696339273</v>
      </c>
      <c r="BG30" s="81">
        <f>BF30/SUM('TABLE 4 - October 2016 Dataset'!F30:H30)</f>
        <v>3680.2740976463861</v>
      </c>
      <c r="BH30" s="264">
        <f t="shared" si="20"/>
        <v>67166.953688676469</v>
      </c>
      <c r="BI30" s="81">
        <f t="shared" si="20"/>
        <v>237.33905897058821</v>
      </c>
      <c r="BJ30" s="269">
        <f t="shared" si="21"/>
        <v>6.8935096452436173E-2</v>
      </c>
      <c r="BK30" s="103"/>
      <c r="BL30" s="80">
        <f>'TABLE 5 - DfE Published Figures'!T29</f>
        <v>1042000</v>
      </c>
      <c r="BM30" s="84">
        <f t="shared" si="22"/>
        <v>0</v>
      </c>
      <c r="BO30" s="103"/>
    </row>
    <row r="31" spans="2:67" ht="15.75">
      <c r="B31" s="198">
        <v>3158</v>
      </c>
      <c r="C31" s="60" t="s">
        <v>38</v>
      </c>
      <c r="D31" s="204"/>
      <c r="F31" s="80">
        <v>197</v>
      </c>
      <c r="G31" s="163"/>
      <c r="H31" s="164">
        <v>-1</v>
      </c>
      <c r="I31" s="94">
        <f t="shared" si="0"/>
        <v>196</v>
      </c>
      <c r="J31" s="103"/>
      <c r="K31" s="80">
        <v>697344.84984038863</v>
      </c>
      <c r="L31" s="163"/>
      <c r="M31" s="163"/>
      <c r="N31" s="94">
        <f t="shared" si="1"/>
        <v>697344.84984038863</v>
      </c>
      <c r="O31" s="103"/>
      <c r="P31" s="80">
        <f>P$76*'TABLE 4 - October 2016 Dataset'!F31</f>
        <v>538410.03999999992</v>
      </c>
      <c r="Q31" s="160"/>
      <c r="R31" s="161"/>
      <c r="S31" s="162">
        <f t="shared" si="4"/>
        <v>538410.03999999992</v>
      </c>
      <c r="T31" s="165">
        <f>T$76*'TABLE 4 - October 2016 Dataset'!I31</f>
        <v>1320.0000000000007</v>
      </c>
      <c r="U31" s="165">
        <f>U$76*'TABLE 4 - October 2016 Dataset'!J31</f>
        <v>5345.454545454546</v>
      </c>
      <c r="V31" s="165">
        <f>V$76*'TABLE 4 - October 2016 Dataset'!K31</f>
        <v>0</v>
      </c>
      <c r="W31" s="165">
        <f>W$76*'TABLE 4 - October 2016 Dataset'!L31</f>
        <v>848.65979381443594</v>
      </c>
      <c r="X31" s="165">
        <f>X$76*'TABLE 4 - October 2016 Dataset'!M31</f>
        <v>394.02061855670092</v>
      </c>
      <c r="Y31" s="165">
        <f>Y$76*'TABLE 4 - October 2016 Dataset'!N31</f>
        <v>0</v>
      </c>
      <c r="Z31" s="165">
        <f>Z$76*'TABLE 4 - October 2016 Dataset'!O31</f>
        <v>0</v>
      </c>
      <c r="AA31" s="165">
        <f>AA$76*'TABLE 4 - October 2016 Dataset'!P31</f>
        <v>5051.5463917525658</v>
      </c>
      <c r="AB31" s="162">
        <f t="shared" si="5"/>
        <v>12959.68134957825</v>
      </c>
      <c r="AC31" s="140">
        <f>AC$76*'TABLE 4 - October 2016 Dataset'!Q31</f>
        <v>43604.265977848219</v>
      </c>
      <c r="AD31" s="140">
        <f>AD$76*'TABLE 4 - October 2016 Dataset'!R31</f>
        <v>17528.502994011931</v>
      </c>
      <c r="AE31" s="140">
        <f>AE$76*'TABLE 4 - October 2016 Dataset'!S31</f>
        <v>0</v>
      </c>
      <c r="AF31" s="140">
        <f t="shared" si="6"/>
        <v>110000</v>
      </c>
      <c r="AG31" s="140">
        <f>IF('TABLE 4 - October 2016 Dataset'!X31="No",0,"*CHECK*")</f>
        <v>0</v>
      </c>
      <c r="AH31" s="140">
        <f>'TABLE 4 - October 2016 Dataset'!Y31</f>
        <v>15921.64</v>
      </c>
      <c r="AI31" s="170">
        <f>IF('TABLE 4 - October 2016 Dataset'!Z31&gt;0,('TABLE 4 - October 2016 Dataset'!Z31*(1+'TABLE 1 - 2018-19 Provisional'!AI$79)*(1+AI$79))-((AI$76*SUM('TABLE 4 - October 2016 Dataset'!F31:H31))+AI$77),0)</f>
        <v>0</v>
      </c>
      <c r="AJ31" s="166" t="str">
        <f>IF('TABLE 4 - October 2016 Dataset'!AA31="Yes",'TABLE 3 - Target Illustrative'!AJ$76*SUM('TABLE 4 - October 2016 Dataset'!F31:H31),"")</f>
        <v/>
      </c>
      <c r="AK31" s="140">
        <f t="shared" si="7"/>
        <v>0</v>
      </c>
      <c r="AL31" s="94">
        <f t="shared" si="8"/>
        <v>738424.13032143831</v>
      </c>
      <c r="AM31" s="103"/>
      <c r="AN31" s="80">
        <f t="shared" si="2"/>
        <v>722502.49032143829</v>
      </c>
      <c r="AO31" s="165">
        <f>AN31/SUM('TABLE 4 - October 2016 Dataset'!F31:H31)</f>
        <v>3686.2371955175422</v>
      </c>
      <c r="AP31" s="165">
        <f t="shared" si="3"/>
        <v>0</v>
      </c>
      <c r="AQ31" s="165">
        <f>AP31*SUM('TABLE 4 - October 2016 Dataset'!F31:H31)</f>
        <v>0</v>
      </c>
      <c r="AR31" s="94">
        <f t="shared" si="9"/>
        <v>738424.13032143831</v>
      </c>
      <c r="AS31" s="103"/>
      <c r="AT31" s="80">
        <f>N31-(AF31+AG31+'TABLE 4 - October 2016 Dataset'!Y31)</f>
        <v>571423.20984038862</v>
      </c>
      <c r="AU31" s="187">
        <f t="shared" si="10"/>
        <v>612502.49032143829</v>
      </c>
      <c r="AV31" s="165">
        <f t="shared" si="11"/>
        <v>2915.4245400019827</v>
      </c>
      <c r="AW31" s="165">
        <f>AU31/SUM('TABLE 4 - October 2016 Dataset'!F31:H31)</f>
        <v>3125.0127057216241</v>
      </c>
      <c r="AX31" s="173">
        <f t="shared" si="12"/>
        <v>7.1889415364356779E-2</v>
      </c>
      <c r="AY31" s="173">
        <f t="shared" si="13"/>
        <v>0</v>
      </c>
      <c r="AZ31" s="175">
        <f t="shared" si="14"/>
        <v>0</v>
      </c>
      <c r="BA31" s="165">
        <f t="shared" si="15"/>
        <v>0</v>
      </c>
      <c r="BB31" s="94">
        <f t="shared" si="16"/>
        <v>738424.13032143831</v>
      </c>
      <c r="BC31" s="103"/>
      <c r="BD31" s="80">
        <f t="shared" si="17"/>
        <v>697344.84984038863</v>
      </c>
      <c r="BE31" s="122">
        <f t="shared" si="18"/>
        <v>3557.8818869407582</v>
      </c>
      <c r="BF31" s="264">
        <f t="shared" si="19"/>
        <v>738424.13032143831</v>
      </c>
      <c r="BG31" s="81">
        <f>BF31/SUM('TABLE 4 - October 2016 Dataset'!F31:H31)</f>
        <v>3767.4700526603997</v>
      </c>
      <c r="BH31" s="264">
        <f t="shared" si="20"/>
        <v>41079.280481049675</v>
      </c>
      <c r="BI31" s="81">
        <f t="shared" si="20"/>
        <v>209.58816571964144</v>
      </c>
      <c r="BJ31" s="269">
        <f t="shared" si="21"/>
        <v>5.8908129156545905E-2</v>
      </c>
      <c r="BK31" s="103"/>
      <c r="BL31" s="80">
        <f>'TABLE 5 - DfE Published Figures'!T30</f>
        <v>738000</v>
      </c>
      <c r="BM31" s="84">
        <f t="shared" si="22"/>
        <v>0</v>
      </c>
      <c r="BO31" s="103"/>
    </row>
    <row r="32" spans="2:67" ht="15.75">
      <c r="B32" s="198">
        <v>3159</v>
      </c>
      <c r="C32" s="60" t="s">
        <v>41</v>
      </c>
      <c r="D32" s="204"/>
      <c r="F32" s="80">
        <v>81</v>
      </c>
      <c r="G32" s="163"/>
      <c r="H32" s="164">
        <v>0</v>
      </c>
      <c r="I32" s="94">
        <f t="shared" si="0"/>
        <v>81</v>
      </c>
      <c r="J32" s="103"/>
      <c r="K32" s="80">
        <v>362539.93223416345</v>
      </c>
      <c r="L32" s="163"/>
      <c r="M32" s="163"/>
      <c r="N32" s="94">
        <f t="shared" si="1"/>
        <v>362539.93223416345</v>
      </c>
      <c r="O32" s="103"/>
      <c r="P32" s="80">
        <f>P$76*'TABLE 4 - October 2016 Dataset'!F32</f>
        <v>222506.18999999997</v>
      </c>
      <c r="Q32" s="160"/>
      <c r="R32" s="161"/>
      <c r="S32" s="162">
        <f t="shared" si="4"/>
        <v>222506.18999999997</v>
      </c>
      <c r="T32" s="165">
        <f>T$76*'TABLE 4 - October 2016 Dataset'!I32</f>
        <v>440.00000000000068</v>
      </c>
      <c r="U32" s="165">
        <f>U$76*'TABLE 4 - October 2016 Dataset'!J32</f>
        <v>3780</v>
      </c>
      <c r="V32" s="165">
        <f>V$76*'TABLE 4 - October 2016 Dataset'!K32</f>
        <v>0</v>
      </c>
      <c r="W32" s="165">
        <f>W$76*'TABLE 4 - October 2016 Dataset'!L32</f>
        <v>420.00000000000063</v>
      </c>
      <c r="X32" s="165">
        <f>X$76*'TABLE 4 - October 2016 Dataset'!M32</f>
        <v>0</v>
      </c>
      <c r="Y32" s="165">
        <f>Y$76*'TABLE 4 - October 2016 Dataset'!N32</f>
        <v>0</v>
      </c>
      <c r="Z32" s="165">
        <f>Z$76*'TABLE 4 - October 2016 Dataset'!O32</f>
        <v>0</v>
      </c>
      <c r="AA32" s="165">
        <f>AA$76*'TABLE 4 - October 2016 Dataset'!P32</f>
        <v>0</v>
      </c>
      <c r="AB32" s="162">
        <f t="shared" si="5"/>
        <v>4640.0000000000018</v>
      </c>
      <c r="AC32" s="140">
        <f>AC$76*'TABLE 4 - October 2016 Dataset'!Q32</f>
        <v>20574.074930619798</v>
      </c>
      <c r="AD32" s="140">
        <f>AD$76*'TABLE 4 - October 2016 Dataset'!R32</f>
        <v>0</v>
      </c>
      <c r="AE32" s="140">
        <f>AE$76*'TABLE 4 - October 2016 Dataset'!S32</f>
        <v>0</v>
      </c>
      <c r="AF32" s="140">
        <f t="shared" si="6"/>
        <v>110000</v>
      </c>
      <c r="AG32" s="140">
        <f>IF('TABLE 4 - October 2016 Dataset'!X32="No",0,"*CHECK*")</f>
        <v>0</v>
      </c>
      <c r="AH32" s="140">
        <f>'TABLE 4 - October 2016 Dataset'!Y32</f>
        <v>0</v>
      </c>
      <c r="AI32" s="170">
        <f>IF('TABLE 4 - October 2016 Dataset'!Z32&gt;0,('TABLE 4 - October 2016 Dataset'!Z32*(1+'TABLE 1 - 2018-19 Provisional'!AI$79)*(1+AI$79))-((AI$76*SUM('TABLE 4 - October 2016 Dataset'!F32:H32))+AI$77),0)</f>
        <v>0</v>
      </c>
      <c r="AJ32" s="166" t="str">
        <f>IF('TABLE 4 - October 2016 Dataset'!AA32="Yes",'TABLE 3 - Target Illustrative'!AJ$76*SUM('TABLE 4 - October 2016 Dataset'!F32:H32),"")</f>
        <v/>
      </c>
      <c r="AK32" s="140">
        <f t="shared" si="7"/>
        <v>0</v>
      </c>
      <c r="AL32" s="94">
        <f t="shared" si="8"/>
        <v>357720.26493061974</v>
      </c>
      <c r="AM32" s="103"/>
      <c r="AN32" s="80">
        <f t="shared" si="2"/>
        <v>357720.26493061974</v>
      </c>
      <c r="AO32" s="165">
        <f>AN32/SUM('TABLE 4 - October 2016 Dataset'!F32:H32)</f>
        <v>4416.299567044688</v>
      </c>
      <c r="AP32" s="165">
        <f t="shared" si="3"/>
        <v>0</v>
      </c>
      <c r="AQ32" s="165">
        <f>AP32*SUM('TABLE 4 - October 2016 Dataset'!F32:H32)</f>
        <v>0</v>
      </c>
      <c r="AR32" s="94">
        <f t="shared" si="9"/>
        <v>357720.26493061974</v>
      </c>
      <c r="AS32" s="103"/>
      <c r="AT32" s="80">
        <f>N32-(AF32+AG32+'TABLE 4 - October 2016 Dataset'!Y32)</f>
        <v>252539.93223416345</v>
      </c>
      <c r="AU32" s="187">
        <f t="shared" si="10"/>
        <v>247720.26493061974</v>
      </c>
      <c r="AV32" s="165">
        <f t="shared" si="11"/>
        <v>3117.7769411625118</v>
      </c>
      <c r="AW32" s="165">
        <f>AU32/SUM('TABLE 4 - October 2016 Dataset'!F32:H32)</f>
        <v>3058.2748756866636</v>
      </c>
      <c r="AX32" s="173">
        <f t="shared" si="12"/>
        <v>-1.9084773092735041E-2</v>
      </c>
      <c r="AY32" s="173">
        <f t="shared" si="13"/>
        <v>2.9084773092735043E-2</v>
      </c>
      <c r="AZ32" s="175">
        <f t="shared" si="14"/>
        <v>90.679834887473191</v>
      </c>
      <c r="BA32" s="165">
        <f t="shared" si="15"/>
        <v>7345.0666258853289</v>
      </c>
      <c r="BB32" s="94">
        <f t="shared" si="16"/>
        <v>365065.33155650506</v>
      </c>
      <c r="BC32" s="103"/>
      <c r="BD32" s="80">
        <f t="shared" si="17"/>
        <v>362539.93223416345</v>
      </c>
      <c r="BE32" s="122">
        <f t="shared" si="18"/>
        <v>4475.8016325205363</v>
      </c>
      <c r="BF32" s="264">
        <f t="shared" si="19"/>
        <v>365065.33155650506</v>
      </c>
      <c r="BG32" s="81">
        <f>BF32/SUM('TABLE 4 - October 2016 Dataset'!F32:H32)</f>
        <v>4506.9794019321616</v>
      </c>
      <c r="BH32" s="264">
        <f t="shared" si="20"/>
        <v>2525.3993223416037</v>
      </c>
      <c r="BI32" s="81">
        <f t="shared" si="20"/>
        <v>31.177769411625377</v>
      </c>
      <c r="BJ32" s="269">
        <f t="shared" si="21"/>
        <v>6.965851476770586E-3</v>
      </c>
      <c r="BK32" s="103"/>
      <c r="BL32" s="80">
        <f>'TABLE 5 - DfE Published Figures'!T31</f>
        <v>363000</v>
      </c>
      <c r="BM32" s="84">
        <f t="shared" si="22"/>
        <v>2000</v>
      </c>
      <c r="BO32" s="103"/>
    </row>
    <row r="33" spans="2:67" ht="15.75">
      <c r="B33" s="198">
        <v>3901</v>
      </c>
      <c r="C33" s="60" t="s">
        <v>65</v>
      </c>
      <c r="D33" s="204" t="s">
        <v>70</v>
      </c>
      <c r="F33" s="80">
        <v>181</v>
      </c>
      <c r="G33" s="163"/>
      <c r="H33" s="164">
        <v>0</v>
      </c>
      <c r="I33" s="94">
        <f t="shared" si="0"/>
        <v>181</v>
      </c>
      <c r="J33" s="103"/>
      <c r="K33" s="80">
        <v>697890.7389950233</v>
      </c>
      <c r="L33" s="163"/>
      <c r="M33" s="163"/>
      <c r="N33" s="94">
        <f t="shared" si="1"/>
        <v>697890.7389950233</v>
      </c>
      <c r="O33" s="103"/>
      <c r="P33" s="80">
        <f>P$76*'TABLE 4 - October 2016 Dataset'!F33</f>
        <v>497205.18999999994</v>
      </c>
      <c r="Q33" s="160"/>
      <c r="R33" s="161"/>
      <c r="S33" s="162">
        <f t="shared" si="4"/>
        <v>497205.18999999994</v>
      </c>
      <c r="T33" s="165">
        <f>T$76*'TABLE 4 - October 2016 Dataset'!I33</f>
        <v>10560.000000000005</v>
      </c>
      <c r="U33" s="165">
        <f>U$76*'TABLE 4 - October 2016 Dataset'!J33</f>
        <v>26514.574468085102</v>
      </c>
      <c r="V33" s="165">
        <f>V$76*'TABLE 4 - October 2016 Dataset'!K33</f>
        <v>0</v>
      </c>
      <c r="W33" s="165">
        <f>W$76*'TABLE 4 - October 2016 Dataset'!L33</f>
        <v>0</v>
      </c>
      <c r="X33" s="165">
        <f>X$76*'TABLE 4 - October 2016 Dataset'!M33</f>
        <v>394.3575418994414</v>
      </c>
      <c r="Y33" s="165">
        <f>Y$76*'TABLE 4 - October 2016 Dataset'!N33</f>
        <v>1092.0670391061419</v>
      </c>
      <c r="Z33" s="165">
        <f>Z$76*'TABLE 4 - October 2016 Dataset'!O33</f>
        <v>19414.525139664805</v>
      </c>
      <c r="AA33" s="165">
        <f>AA$76*'TABLE 4 - October 2016 Dataset'!P33</f>
        <v>202.2346368715084</v>
      </c>
      <c r="AB33" s="162">
        <f t="shared" si="5"/>
        <v>58177.75882562701</v>
      </c>
      <c r="AC33" s="140">
        <f>AC$76*'TABLE 4 - October 2016 Dataset'!Q33</f>
        <v>55553.076923076871</v>
      </c>
      <c r="AD33" s="140">
        <f>AD$76*'TABLE 4 - October 2016 Dataset'!R33</f>
        <v>1792.5961538461511</v>
      </c>
      <c r="AE33" s="140">
        <f>AE$76*'TABLE 4 - October 2016 Dataset'!S33</f>
        <v>0</v>
      </c>
      <c r="AF33" s="140">
        <f t="shared" si="6"/>
        <v>110000</v>
      </c>
      <c r="AG33" s="140">
        <f>IF('TABLE 4 - October 2016 Dataset'!X33="No",0,"*CHECK*")</f>
        <v>0</v>
      </c>
      <c r="AH33" s="140">
        <f>'TABLE 4 - October 2016 Dataset'!Y33</f>
        <v>3768</v>
      </c>
      <c r="AI33" s="170">
        <f>IF('TABLE 4 - October 2016 Dataset'!Z33&gt;0,('TABLE 4 - October 2016 Dataset'!Z33*(1+'TABLE 1 - 2018-19 Provisional'!AI$79)*(1+AI$79))-((AI$76*SUM('TABLE 4 - October 2016 Dataset'!F33:H33))+AI$77),0)</f>
        <v>0</v>
      </c>
      <c r="AJ33" s="166" t="str">
        <f>IF('TABLE 4 - October 2016 Dataset'!AA33="Yes",'TABLE 3 - Target Illustrative'!AJ$76*SUM('TABLE 4 - October 2016 Dataset'!F33:H33),"")</f>
        <v/>
      </c>
      <c r="AK33" s="140">
        <f t="shared" si="7"/>
        <v>0</v>
      </c>
      <c r="AL33" s="94">
        <f t="shared" si="8"/>
        <v>726496.62190254999</v>
      </c>
      <c r="AM33" s="103"/>
      <c r="AN33" s="80">
        <f t="shared" si="2"/>
        <v>722728.62190254999</v>
      </c>
      <c r="AO33" s="165">
        <f>AN33/SUM('TABLE 4 - October 2016 Dataset'!F33:H33)</f>
        <v>3992.9758116162984</v>
      </c>
      <c r="AP33" s="165">
        <f t="shared" si="3"/>
        <v>0</v>
      </c>
      <c r="AQ33" s="165">
        <f>AP33*SUM('TABLE 4 - October 2016 Dataset'!F33:H33)</f>
        <v>0</v>
      </c>
      <c r="AR33" s="94">
        <f t="shared" si="9"/>
        <v>726496.62190254999</v>
      </c>
      <c r="AS33" s="103"/>
      <c r="AT33" s="80">
        <f>N33-(AF33+AG33+'TABLE 4 - October 2016 Dataset'!Y33)</f>
        <v>584122.7389950233</v>
      </c>
      <c r="AU33" s="187">
        <f t="shared" si="10"/>
        <v>612728.62190254999</v>
      </c>
      <c r="AV33" s="165">
        <f t="shared" si="11"/>
        <v>3227.1974530111784</v>
      </c>
      <c r="AW33" s="165">
        <f>AU33/SUM('TABLE 4 - October 2016 Dataset'!F33:H33)</f>
        <v>3385.2410049864638</v>
      </c>
      <c r="AX33" s="173">
        <f t="shared" si="12"/>
        <v>4.8972383709531275E-2</v>
      </c>
      <c r="AY33" s="173">
        <f t="shared" si="13"/>
        <v>0</v>
      </c>
      <c r="AZ33" s="175">
        <f t="shared" si="14"/>
        <v>0</v>
      </c>
      <c r="BA33" s="165">
        <f t="shared" si="15"/>
        <v>0</v>
      </c>
      <c r="BB33" s="94">
        <f t="shared" si="16"/>
        <v>726496.62190254999</v>
      </c>
      <c r="BC33" s="103"/>
      <c r="BD33" s="80">
        <f t="shared" si="17"/>
        <v>697890.7389950233</v>
      </c>
      <c r="BE33" s="122">
        <f t="shared" si="18"/>
        <v>3855.7499391990236</v>
      </c>
      <c r="BF33" s="264">
        <f t="shared" si="19"/>
        <v>726496.62190254999</v>
      </c>
      <c r="BG33" s="81">
        <f>BF33/SUM('TABLE 4 - October 2016 Dataset'!F33:H33)</f>
        <v>4013.7934911743091</v>
      </c>
      <c r="BH33" s="264">
        <f t="shared" si="20"/>
        <v>28605.882907526684</v>
      </c>
      <c r="BI33" s="81">
        <f t="shared" si="20"/>
        <v>158.04355197528548</v>
      </c>
      <c r="BJ33" s="269">
        <f t="shared" si="21"/>
        <v>4.0989056465657821E-2</v>
      </c>
      <c r="BK33" s="103"/>
      <c r="BL33" s="80">
        <f>'TABLE 5 - DfE Published Figures'!T32</f>
        <v>726000</v>
      </c>
      <c r="BM33" s="84">
        <f t="shared" si="22"/>
        <v>0</v>
      </c>
      <c r="BO33" s="103"/>
    </row>
    <row r="34" spans="2:67" ht="15.75">
      <c r="B34" s="198">
        <v>2176</v>
      </c>
      <c r="C34" s="60" t="s">
        <v>42</v>
      </c>
      <c r="D34" s="204"/>
      <c r="F34" s="80">
        <v>302</v>
      </c>
      <c r="G34" s="163"/>
      <c r="H34" s="164">
        <v>0</v>
      </c>
      <c r="I34" s="94">
        <f t="shared" si="0"/>
        <v>302</v>
      </c>
      <c r="J34" s="103"/>
      <c r="K34" s="80">
        <v>1167762.1229248489</v>
      </c>
      <c r="L34" s="163"/>
      <c r="M34" s="163"/>
      <c r="N34" s="94">
        <f t="shared" si="1"/>
        <v>1167762.1229248489</v>
      </c>
      <c r="O34" s="103"/>
      <c r="P34" s="80">
        <f>P$76*'TABLE 4 - October 2016 Dataset'!F34</f>
        <v>829590.98</v>
      </c>
      <c r="Q34" s="160"/>
      <c r="R34" s="161"/>
      <c r="S34" s="162">
        <f t="shared" si="4"/>
        <v>829590.98</v>
      </c>
      <c r="T34" s="165">
        <f>T$76*'TABLE 4 - October 2016 Dataset'!I34</f>
        <v>18040.000000000065</v>
      </c>
      <c r="U34" s="165">
        <f>U$76*'TABLE 4 - October 2016 Dataset'!J34</f>
        <v>48718.867924528298</v>
      </c>
      <c r="V34" s="165">
        <f>V$76*'TABLE 4 - October 2016 Dataset'!K34</f>
        <v>0</v>
      </c>
      <c r="W34" s="165">
        <f>W$76*'TABLE 4 - October 2016 Dataset'!L34</f>
        <v>20717.199999999957</v>
      </c>
      <c r="X34" s="165">
        <f>X$76*'TABLE 4 - October 2016 Dataset'!M34</f>
        <v>1963.0000000000041</v>
      </c>
      <c r="Y34" s="165">
        <f>Y$76*'TABLE 4 - October 2016 Dataset'!N34</f>
        <v>0</v>
      </c>
      <c r="Z34" s="165">
        <f>Z$76*'TABLE 4 - October 2016 Dataset'!O34</f>
        <v>241.59999999999977</v>
      </c>
      <c r="AA34" s="165">
        <f>AA$76*'TABLE 4 - October 2016 Dataset'!P34</f>
        <v>18120</v>
      </c>
      <c r="AB34" s="162">
        <f t="shared" si="5"/>
        <v>107800.66792452833</v>
      </c>
      <c r="AC34" s="140">
        <f>AC$76*'TABLE 4 - October 2016 Dataset'!Q34</f>
        <v>114652.4610373497</v>
      </c>
      <c r="AD34" s="140">
        <f>AD$76*'TABLE 4 - October 2016 Dataset'!R34</f>
        <v>19295.075187969949</v>
      </c>
      <c r="AE34" s="140">
        <f>AE$76*'TABLE 4 - October 2016 Dataset'!S34</f>
        <v>4834.8000000000557</v>
      </c>
      <c r="AF34" s="140">
        <f t="shared" si="6"/>
        <v>110000</v>
      </c>
      <c r="AG34" s="140">
        <f>IF('TABLE 4 - October 2016 Dataset'!X34="No",0,"*CHECK*")</f>
        <v>0</v>
      </c>
      <c r="AH34" s="140">
        <f>'TABLE 4 - October 2016 Dataset'!Y34</f>
        <v>21734.68</v>
      </c>
      <c r="AI34" s="170">
        <f>IF('TABLE 4 - October 2016 Dataset'!Z34&gt;0,('TABLE 4 - October 2016 Dataset'!Z34*(1+'TABLE 1 - 2018-19 Provisional'!AI$79)*(1+AI$79))-((AI$76*SUM('TABLE 4 - October 2016 Dataset'!F34:H34))+AI$77),0)</f>
        <v>0</v>
      </c>
      <c r="AJ34" s="140">
        <f>IF('TABLE 4 - October 2016 Dataset'!AA34="Yes",'TABLE 3 - Target Illustrative'!AJ$76*SUM('TABLE 4 - October 2016 Dataset'!F34:H34),"")</f>
        <v>59796</v>
      </c>
      <c r="AK34" s="140">
        <f t="shared" si="7"/>
        <v>0</v>
      </c>
      <c r="AL34" s="94">
        <f t="shared" si="8"/>
        <v>1267704.664149848</v>
      </c>
      <c r="AM34" s="103"/>
      <c r="AN34" s="80">
        <f t="shared" si="2"/>
        <v>1186173.9841498481</v>
      </c>
      <c r="AO34" s="165">
        <f>AN34/SUM('TABLE 4 - October 2016 Dataset'!F34:H34)</f>
        <v>3927.7284243372455</v>
      </c>
      <c r="AP34" s="165">
        <f t="shared" si="3"/>
        <v>0</v>
      </c>
      <c r="AQ34" s="165">
        <f>AP34*SUM('TABLE 4 - October 2016 Dataset'!F34:H34)</f>
        <v>0</v>
      </c>
      <c r="AR34" s="94">
        <f t="shared" si="9"/>
        <v>1267704.664149848</v>
      </c>
      <c r="AS34" s="103"/>
      <c r="AT34" s="80">
        <f>N34-(AF34+AG34+'TABLE 4 - October 2016 Dataset'!Y34)</f>
        <v>1036027.442924849</v>
      </c>
      <c r="AU34" s="187">
        <f t="shared" si="10"/>
        <v>1135969.9841498481</v>
      </c>
      <c r="AV34" s="165">
        <f t="shared" si="11"/>
        <v>3430.5544467710233</v>
      </c>
      <c r="AW34" s="165">
        <f>AU34/SUM('TABLE 4 - October 2016 Dataset'!F34:H34)</f>
        <v>3761.4900137412187</v>
      </c>
      <c r="AX34" s="173">
        <f t="shared" si="12"/>
        <v>9.646707904073204E-2</v>
      </c>
      <c r="AY34" s="173">
        <f t="shared" si="13"/>
        <v>0</v>
      </c>
      <c r="AZ34" s="175">
        <f t="shared" si="14"/>
        <v>0</v>
      </c>
      <c r="BA34" s="165">
        <f t="shared" si="15"/>
        <v>0</v>
      </c>
      <c r="BB34" s="94">
        <f t="shared" si="16"/>
        <v>1267704.664149848</v>
      </c>
      <c r="BC34" s="103"/>
      <c r="BD34" s="80">
        <f t="shared" si="17"/>
        <v>1167762.1229248489</v>
      </c>
      <c r="BE34" s="122">
        <f t="shared" si="18"/>
        <v>3866.7619964398973</v>
      </c>
      <c r="BF34" s="264">
        <f t="shared" si="19"/>
        <v>1267704.664149848</v>
      </c>
      <c r="BG34" s="81">
        <f>BF34/SUM('TABLE 4 - October 2016 Dataset'!F34:H34)</f>
        <v>4197.6975634100927</v>
      </c>
      <c r="BH34" s="264">
        <f t="shared" si="20"/>
        <v>99942.54122499912</v>
      </c>
      <c r="BI34" s="81">
        <f t="shared" si="20"/>
        <v>330.9355669701954</v>
      </c>
      <c r="BJ34" s="269">
        <f t="shared" si="21"/>
        <v>8.5584674535149979E-2</v>
      </c>
      <c r="BK34" s="103"/>
      <c r="BL34" s="80">
        <f>'TABLE 5 - DfE Published Figures'!T33</f>
        <v>1268000</v>
      </c>
      <c r="BM34" s="84">
        <f t="shared" si="22"/>
        <v>0</v>
      </c>
      <c r="BO34" s="103"/>
    </row>
    <row r="35" spans="2:67" ht="15.75">
      <c r="B35" s="198">
        <v>3904</v>
      </c>
      <c r="C35" s="60" t="s">
        <v>66</v>
      </c>
      <c r="D35" s="204"/>
      <c r="F35" s="80">
        <v>390</v>
      </c>
      <c r="G35" s="163"/>
      <c r="H35" s="164">
        <v>0</v>
      </c>
      <c r="I35" s="94">
        <f t="shared" si="0"/>
        <v>390</v>
      </c>
      <c r="J35" s="103"/>
      <c r="K35" s="80">
        <v>1285029.2520534801</v>
      </c>
      <c r="L35" s="163"/>
      <c r="M35" s="163"/>
      <c r="N35" s="94">
        <f t="shared" si="1"/>
        <v>1285029.2520534801</v>
      </c>
      <c r="O35" s="103"/>
      <c r="P35" s="80">
        <f>P$76*'TABLE 4 - October 2016 Dataset'!F35</f>
        <v>1071326.0999999999</v>
      </c>
      <c r="Q35" s="160"/>
      <c r="R35" s="161"/>
      <c r="S35" s="162">
        <f t="shared" si="4"/>
        <v>1071326.0999999999</v>
      </c>
      <c r="T35" s="165">
        <f>T$76*'TABLE 4 - October 2016 Dataset'!I35</f>
        <v>8800.0000000000036</v>
      </c>
      <c r="U35" s="165">
        <f>U$76*'TABLE 4 - October 2016 Dataset'!J35</f>
        <v>27424.570024570021</v>
      </c>
      <c r="V35" s="165">
        <f>V$76*'TABLE 4 - October 2016 Dataset'!K35</f>
        <v>0</v>
      </c>
      <c r="W35" s="165">
        <f>W$76*'TABLE 4 - October 2016 Dataset'!L35</f>
        <v>0</v>
      </c>
      <c r="X35" s="165">
        <f>X$76*'TABLE 4 - October 2016 Dataset'!M35</f>
        <v>11339.074550128538</v>
      </c>
      <c r="Y35" s="165">
        <f>Y$76*'TABLE 4 - October 2016 Dataset'!N35</f>
        <v>12993.316195372756</v>
      </c>
      <c r="Z35" s="165">
        <f>Z$76*'TABLE 4 - October 2016 Dataset'!O35</f>
        <v>1203.0848329048847</v>
      </c>
      <c r="AA35" s="165">
        <f>AA$76*'TABLE 4 - October 2016 Dataset'!P35</f>
        <v>8020.5655526992314</v>
      </c>
      <c r="AB35" s="162">
        <f t="shared" si="5"/>
        <v>69780.611155675433</v>
      </c>
      <c r="AC35" s="140">
        <f>AC$76*'TABLE 4 - October 2016 Dataset'!Q35</f>
        <v>62650.586617282905</v>
      </c>
      <c r="AD35" s="140">
        <f>AD$76*'TABLE 4 - October 2016 Dataset'!R35</f>
        <v>16834.248554913294</v>
      </c>
      <c r="AE35" s="140">
        <f>AE$76*'TABLE 4 - October 2016 Dataset'!S35</f>
        <v>0</v>
      </c>
      <c r="AF35" s="140">
        <f t="shared" si="6"/>
        <v>110000</v>
      </c>
      <c r="AG35" s="140">
        <f>IF('TABLE 4 - October 2016 Dataset'!X35="No",0,"*CHECK*")</f>
        <v>0</v>
      </c>
      <c r="AH35" s="140">
        <f>'TABLE 4 - October 2016 Dataset'!Y35</f>
        <v>11342.58</v>
      </c>
      <c r="AI35" s="170">
        <f>IF('TABLE 4 - October 2016 Dataset'!Z35&gt;0,('TABLE 4 - October 2016 Dataset'!Z35*(1+'TABLE 1 - 2018-19 Provisional'!AI$79)*(1+AI$79))-((AI$76*SUM('TABLE 4 - October 2016 Dataset'!F35:H35))+AI$77),0)</f>
        <v>0</v>
      </c>
      <c r="AJ35" s="166" t="str">
        <f>IF('TABLE 4 - October 2016 Dataset'!AA35="Yes",'TABLE 3 - Target Illustrative'!AJ$76*SUM('TABLE 4 - October 2016 Dataset'!F35:H35),"")</f>
        <v/>
      </c>
      <c r="AK35" s="140">
        <f t="shared" si="7"/>
        <v>0</v>
      </c>
      <c r="AL35" s="94">
        <f t="shared" si="8"/>
        <v>1341934.1263278716</v>
      </c>
      <c r="AM35" s="103"/>
      <c r="AN35" s="80">
        <f t="shared" si="2"/>
        <v>1330591.5463278715</v>
      </c>
      <c r="AO35" s="165">
        <f>AN35/SUM('TABLE 4 - October 2016 Dataset'!F35:H35)</f>
        <v>3411.7731957124911</v>
      </c>
      <c r="AP35" s="165">
        <f t="shared" si="3"/>
        <v>88.226804287508912</v>
      </c>
      <c r="AQ35" s="165">
        <f>AP35*SUM('TABLE 4 - October 2016 Dataset'!F35:H35)</f>
        <v>34408.453672128475</v>
      </c>
      <c r="AR35" s="94">
        <f t="shared" si="9"/>
        <v>1376342.58</v>
      </c>
      <c r="AS35" s="103"/>
      <c r="AT35" s="80">
        <f>N35-(AF35+AG35+'TABLE 4 - October 2016 Dataset'!Y35)</f>
        <v>1163686.6720534801</v>
      </c>
      <c r="AU35" s="187">
        <f t="shared" si="10"/>
        <v>1255000</v>
      </c>
      <c r="AV35" s="165">
        <f t="shared" si="11"/>
        <v>2983.8119796243077</v>
      </c>
      <c r="AW35" s="165">
        <f>AU35/SUM('TABLE 4 - October 2016 Dataset'!F35:H35)</f>
        <v>3217.9487179487178</v>
      </c>
      <c r="AX35" s="173">
        <f t="shared" si="12"/>
        <v>7.8468998691362035E-2</v>
      </c>
      <c r="AY35" s="173">
        <f t="shared" si="13"/>
        <v>0</v>
      </c>
      <c r="AZ35" s="175">
        <f t="shared" si="14"/>
        <v>0</v>
      </c>
      <c r="BA35" s="165">
        <f t="shared" si="15"/>
        <v>0</v>
      </c>
      <c r="BB35" s="94">
        <f t="shared" si="16"/>
        <v>1376342.58</v>
      </c>
      <c r="BC35" s="103"/>
      <c r="BD35" s="80">
        <f t="shared" si="17"/>
        <v>1285029.2520534801</v>
      </c>
      <c r="BE35" s="122">
        <f t="shared" si="18"/>
        <v>3294.9468001371283</v>
      </c>
      <c r="BF35" s="264">
        <f t="shared" si="19"/>
        <v>1376342.58</v>
      </c>
      <c r="BG35" s="81">
        <f>BF35/SUM('TABLE 4 - October 2016 Dataset'!F35:H35)</f>
        <v>3529.0835384615389</v>
      </c>
      <c r="BH35" s="264">
        <f t="shared" si="20"/>
        <v>91313.327946519945</v>
      </c>
      <c r="BI35" s="81">
        <f t="shared" si="20"/>
        <v>234.13673832441054</v>
      </c>
      <c r="BJ35" s="269">
        <f t="shared" si="21"/>
        <v>7.1059337988299623E-2</v>
      </c>
      <c r="BK35" s="103"/>
      <c r="BL35" s="80">
        <f>'TABLE 5 - DfE Published Figures'!T34</f>
        <v>1376000</v>
      </c>
      <c r="BM35" s="84">
        <f t="shared" si="22"/>
        <v>0</v>
      </c>
      <c r="BO35" s="103"/>
    </row>
    <row r="36" spans="2:67" ht="15.75">
      <c r="B36" s="198">
        <v>2012</v>
      </c>
      <c r="C36" s="60" t="s">
        <v>43</v>
      </c>
      <c r="D36" s="204" t="s">
        <v>72</v>
      </c>
      <c r="F36" s="80">
        <v>268</v>
      </c>
      <c r="G36" s="163"/>
      <c r="H36" s="164">
        <v>0</v>
      </c>
      <c r="I36" s="94">
        <f t="shared" si="0"/>
        <v>268</v>
      </c>
      <c r="J36" s="103"/>
      <c r="K36" s="80">
        <v>957576.96640124545</v>
      </c>
      <c r="L36" s="163"/>
      <c r="M36" s="163"/>
      <c r="N36" s="94">
        <f t="shared" si="1"/>
        <v>957576.96640124545</v>
      </c>
      <c r="O36" s="103"/>
      <c r="P36" s="80">
        <f>P$76*'TABLE 4 - October 2016 Dataset'!F36</f>
        <v>736193.32</v>
      </c>
      <c r="Q36" s="160"/>
      <c r="R36" s="161"/>
      <c r="S36" s="162">
        <f t="shared" si="4"/>
        <v>736193.32</v>
      </c>
      <c r="T36" s="165">
        <f>T$76*'TABLE 4 - October 2016 Dataset'!I36</f>
        <v>10559.999999999995</v>
      </c>
      <c r="U36" s="165">
        <f>U$76*'TABLE 4 - October 2016 Dataset'!J36</f>
        <v>25026.766917293233</v>
      </c>
      <c r="V36" s="165">
        <f>V$76*'TABLE 4 - October 2016 Dataset'!K36</f>
        <v>0</v>
      </c>
      <c r="W36" s="165">
        <f>W$76*'TABLE 4 - October 2016 Dataset'!L36</f>
        <v>0</v>
      </c>
      <c r="X36" s="165">
        <f>X$76*'TABLE 4 - October 2016 Dataset'!M36</f>
        <v>0</v>
      </c>
      <c r="Y36" s="165">
        <f>Y$76*'TABLE 4 - October 2016 Dataset'!N36</f>
        <v>5781.5730337078649</v>
      </c>
      <c r="Z36" s="165">
        <f>Z$76*'TABLE 4 - October 2016 Dataset'!O36</f>
        <v>0</v>
      </c>
      <c r="AA36" s="165">
        <f>AA$76*'TABLE 4 - October 2016 Dataset'!P36</f>
        <v>10639.700374531832</v>
      </c>
      <c r="AB36" s="162">
        <f t="shared" si="5"/>
        <v>52008.040325532929</v>
      </c>
      <c r="AC36" s="140">
        <f>AC$76*'TABLE 4 - October 2016 Dataset'!Q36</f>
        <v>90250.597152656715</v>
      </c>
      <c r="AD36" s="140">
        <f>AD$76*'TABLE 4 - October 2016 Dataset'!R36</f>
        <v>7869.5614035087683</v>
      </c>
      <c r="AE36" s="140">
        <f>AE$76*'TABLE 4 - October 2016 Dataset'!S36</f>
        <v>0</v>
      </c>
      <c r="AF36" s="140">
        <f t="shared" si="6"/>
        <v>110000</v>
      </c>
      <c r="AG36" s="140">
        <f>IF('TABLE 4 - October 2016 Dataset'!X36="No",0,"*CHECK*")</f>
        <v>0</v>
      </c>
      <c r="AH36" s="140">
        <f>'TABLE 4 - October 2016 Dataset'!Y36</f>
        <v>22460.89</v>
      </c>
      <c r="AI36" s="170">
        <f>IF('TABLE 4 - October 2016 Dataset'!Z36&gt;0,('TABLE 4 - October 2016 Dataset'!Z36*(1+'TABLE 1 - 2018-19 Provisional'!AI$79)*(1+AI$79))-((AI$76*SUM('TABLE 4 - October 2016 Dataset'!F36:H36))+AI$77),0)</f>
        <v>0</v>
      </c>
      <c r="AJ36" s="166" t="str">
        <f>IF('TABLE 4 - October 2016 Dataset'!AA36="Yes",'TABLE 3 - Target Illustrative'!AJ$76*SUM('TABLE 4 - October 2016 Dataset'!F36:H36),"")</f>
        <v/>
      </c>
      <c r="AK36" s="140">
        <f t="shared" si="7"/>
        <v>0</v>
      </c>
      <c r="AL36" s="94">
        <f t="shared" si="8"/>
        <v>1018782.4088816984</v>
      </c>
      <c r="AM36" s="103"/>
      <c r="AN36" s="80">
        <f t="shared" si="2"/>
        <v>996321.51888169837</v>
      </c>
      <c r="AO36" s="165">
        <f>AN36/SUM('TABLE 4 - October 2016 Dataset'!F36:H36)</f>
        <v>3717.6176077675314</v>
      </c>
      <c r="AP36" s="165">
        <f t="shared" si="3"/>
        <v>0</v>
      </c>
      <c r="AQ36" s="165">
        <f>AP36*SUM('TABLE 4 - October 2016 Dataset'!F36:H36)</f>
        <v>0</v>
      </c>
      <c r="AR36" s="94">
        <f t="shared" si="9"/>
        <v>1018782.4088816984</v>
      </c>
      <c r="AS36" s="103"/>
      <c r="AT36" s="80">
        <f>N36-(AF36+AG36+'TABLE 4 - October 2016 Dataset'!Y36)</f>
        <v>825116.07640124543</v>
      </c>
      <c r="AU36" s="187">
        <f t="shared" si="10"/>
        <v>886321.51888169837</v>
      </c>
      <c r="AV36" s="165">
        <f t="shared" si="11"/>
        <v>3078.7913298553935</v>
      </c>
      <c r="AW36" s="165">
        <f>AU36/SUM('TABLE 4 - October 2016 Dataset'!F36:H36)</f>
        <v>3307.1698465735012</v>
      </c>
      <c r="AX36" s="173">
        <f t="shared" si="12"/>
        <v>7.417797838505491E-2</v>
      </c>
      <c r="AY36" s="173">
        <f t="shared" si="13"/>
        <v>0</v>
      </c>
      <c r="AZ36" s="175">
        <f t="shared" si="14"/>
        <v>0</v>
      </c>
      <c r="BA36" s="165">
        <f t="shared" si="15"/>
        <v>0</v>
      </c>
      <c r="BB36" s="94">
        <f t="shared" si="16"/>
        <v>1018782.4088816984</v>
      </c>
      <c r="BC36" s="103"/>
      <c r="BD36" s="80">
        <f t="shared" si="17"/>
        <v>957576.96640124545</v>
      </c>
      <c r="BE36" s="122">
        <f t="shared" si="18"/>
        <v>3573.0483820941995</v>
      </c>
      <c r="BF36" s="264">
        <f t="shared" si="19"/>
        <v>1018782.4088816984</v>
      </c>
      <c r="BG36" s="81">
        <f>BF36/SUM('TABLE 4 - October 2016 Dataset'!F36:H36)</f>
        <v>3801.4268988123076</v>
      </c>
      <c r="BH36" s="264">
        <f t="shared" si="20"/>
        <v>61205.442480452941</v>
      </c>
      <c r="BI36" s="81">
        <f t="shared" si="20"/>
        <v>228.37851671810813</v>
      </c>
      <c r="BJ36" s="269">
        <f t="shared" si="21"/>
        <v>6.3916995320464479E-2</v>
      </c>
      <c r="BK36" s="103"/>
      <c r="BL36" s="80">
        <f>'TABLE 5 - DfE Published Figures'!T35</f>
        <v>1019000</v>
      </c>
      <c r="BM36" s="84">
        <f t="shared" si="22"/>
        <v>0</v>
      </c>
      <c r="BO36" s="103"/>
    </row>
    <row r="37" spans="2:67" ht="15.75">
      <c r="B37" s="198">
        <v>2029</v>
      </c>
      <c r="C37" s="60" t="s">
        <v>44</v>
      </c>
      <c r="D37" s="204" t="s">
        <v>71</v>
      </c>
      <c r="F37" s="80">
        <v>436</v>
      </c>
      <c r="G37" s="163"/>
      <c r="H37" s="164">
        <v>0</v>
      </c>
      <c r="I37" s="94">
        <f t="shared" si="0"/>
        <v>436</v>
      </c>
      <c r="J37" s="103"/>
      <c r="K37" s="80">
        <v>1272501.9995508788</v>
      </c>
      <c r="L37" s="163"/>
      <c r="M37" s="163"/>
      <c r="N37" s="94">
        <f t="shared" si="1"/>
        <v>1272501.9995508788</v>
      </c>
      <c r="O37" s="103"/>
      <c r="P37" s="80">
        <f>P$76*'TABLE 4 - October 2016 Dataset'!F37</f>
        <v>1197687.6399999999</v>
      </c>
      <c r="Q37" s="160"/>
      <c r="R37" s="161"/>
      <c r="S37" s="162">
        <f t="shared" si="4"/>
        <v>1197687.6399999999</v>
      </c>
      <c r="T37" s="165">
        <f>T$76*'TABLE 4 - October 2016 Dataset'!I37</f>
        <v>4839.9999999999927</v>
      </c>
      <c r="U37" s="165">
        <f>U$76*'TABLE 4 - October 2016 Dataset'!J37</f>
        <v>9075.9183673469397</v>
      </c>
      <c r="V37" s="165">
        <f>V$76*'TABLE 4 - October 2016 Dataset'!K37</f>
        <v>0</v>
      </c>
      <c r="W37" s="165">
        <f>W$76*'TABLE 4 - October 2016 Dataset'!L37</f>
        <v>0</v>
      </c>
      <c r="X37" s="165">
        <f>X$76*'TABLE 4 - October 2016 Dataset'!M37</f>
        <v>1958.9861751152005</v>
      </c>
      <c r="Y37" s="165">
        <f>Y$76*'TABLE 4 - October 2016 Dataset'!N37</f>
        <v>0</v>
      </c>
      <c r="Z37" s="165">
        <f>Z$76*'TABLE 4 - October 2016 Dataset'!O37</f>
        <v>0</v>
      </c>
      <c r="AA37" s="165">
        <f>AA$76*'TABLE 4 - October 2016 Dataset'!P37</f>
        <v>401.84331797235063</v>
      </c>
      <c r="AB37" s="162">
        <f t="shared" si="5"/>
        <v>16276.747860434483</v>
      </c>
      <c r="AC37" s="140">
        <f>AC$76*'TABLE 4 - October 2016 Dataset'!Q37</f>
        <v>76768.692518874523</v>
      </c>
      <c r="AD37" s="140">
        <f>AD$76*'TABLE 4 - October 2016 Dataset'!R37</f>
        <v>597.18085106383057</v>
      </c>
      <c r="AE37" s="140">
        <f>AE$76*'TABLE 4 - October 2016 Dataset'!S37</f>
        <v>0</v>
      </c>
      <c r="AF37" s="140">
        <f t="shared" si="6"/>
        <v>110000</v>
      </c>
      <c r="AG37" s="140">
        <f>IF('TABLE 4 - October 2016 Dataset'!X37="No",0,"*CHECK*")</f>
        <v>0</v>
      </c>
      <c r="AH37" s="140">
        <f>'TABLE 4 - October 2016 Dataset'!Y37</f>
        <v>3980.41</v>
      </c>
      <c r="AI37" s="170">
        <f>IF('TABLE 4 - October 2016 Dataset'!Z37&gt;0,('TABLE 4 - October 2016 Dataset'!Z37*(1+'TABLE 1 - 2018-19 Provisional'!AI$79)*(1+AI$79))-((AI$76*SUM('TABLE 4 - October 2016 Dataset'!F37:H37))+AI$77),0)</f>
        <v>0</v>
      </c>
      <c r="AJ37" s="166" t="str">
        <f>IF('TABLE 4 - October 2016 Dataset'!AA37="Yes",'TABLE 3 - Target Illustrative'!AJ$76*SUM('TABLE 4 - October 2016 Dataset'!F37:H37),"")</f>
        <v/>
      </c>
      <c r="AK37" s="140">
        <f t="shared" si="7"/>
        <v>0</v>
      </c>
      <c r="AL37" s="94">
        <f t="shared" si="8"/>
        <v>1405310.6712303727</v>
      </c>
      <c r="AM37" s="103"/>
      <c r="AN37" s="80">
        <f t="shared" si="2"/>
        <v>1401330.2612303728</v>
      </c>
      <c r="AO37" s="165">
        <f>AN37/SUM('TABLE 4 - October 2016 Dataset'!F37:H37)</f>
        <v>3214.0602321797542</v>
      </c>
      <c r="AP37" s="165">
        <f t="shared" si="3"/>
        <v>285.93976782024583</v>
      </c>
      <c r="AQ37" s="165">
        <f>AP37*SUM('TABLE 4 - October 2016 Dataset'!F37:H37)</f>
        <v>124669.73876962718</v>
      </c>
      <c r="AR37" s="94">
        <f t="shared" si="9"/>
        <v>1529980.41</v>
      </c>
      <c r="AS37" s="103"/>
      <c r="AT37" s="80">
        <f>N37-(AF37+AG37+'TABLE 4 - October 2016 Dataset'!Y37)</f>
        <v>1158521.5895508789</v>
      </c>
      <c r="AU37" s="187">
        <f t="shared" si="10"/>
        <v>1416000</v>
      </c>
      <c r="AV37" s="165">
        <f t="shared" si="11"/>
        <v>2657.1596090616486</v>
      </c>
      <c r="AW37" s="165">
        <f>AU37/SUM('TABLE 4 - October 2016 Dataset'!F37:H37)</f>
        <v>3247.7064220183488</v>
      </c>
      <c r="AX37" s="173">
        <f t="shared" si="12"/>
        <v>0.22224739941958038</v>
      </c>
      <c r="AY37" s="173">
        <f t="shared" si="13"/>
        <v>0</v>
      </c>
      <c r="AZ37" s="175">
        <f t="shared" si="14"/>
        <v>0</v>
      </c>
      <c r="BA37" s="165">
        <f t="shared" si="15"/>
        <v>0</v>
      </c>
      <c r="BB37" s="94">
        <f t="shared" si="16"/>
        <v>1529980.41</v>
      </c>
      <c r="BC37" s="103"/>
      <c r="BD37" s="80">
        <f t="shared" si="17"/>
        <v>1272501.9995508788</v>
      </c>
      <c r="BE37" s="122">
        <f t="shared" si="18"/>
        <v>2918.582567777245</v>
      </c>
      <c r="BF37" s="264">
        <f t="shared" si="19"/>
        <v>1529980.41</v>
      </c>
      <c r="BG37" s="81">
        <f>BF37/SUM('TABLE 4 - October 2016 Dataset'!F37:H37)</f>
        <v>3509.1293807339448</v>
      </c>
      <c r="BH37" s="264">
        <f t="shared" si="20"/>
        <v>257478.41044912115</v>
      </c>
      <c r="BI37" s="81">
        <f t="shared" si="20"/>
        <v>590.5468129566998</v>
      </c>
      <c r="BJ37" s="269">
        <f t="shared" si="21"/>
        <v>0.20234027965378162</v>
      </c>
      <c r="BK37" s="103"/>
      <c r="BL37" s="80">
        <f>'TABLE 5 - DfE Published Figures'!T36</f>
        <v>1526000</v>
      </c>
      <c r="BM37" s="84">
        <f t="shared" si="22"/>
        <v>4000</v>
      </c>
      <c r="BO37" s="103"/>
    </row>
    <row r="38" spans="2:67" ht="15.75">
      <c r="B38" s="198">
        <v>2014</v>
      </c>
      <c r="C38" s="60" t="s">
        <v>45</v>
      </c>
      <c r="D38" s="204"/>
      <c r="F38" s="80">
        <v>390</v>
      </c>
      <c r="G38" s="163"/>
      <c r="H38" s="164">
        <v>0</v>
      </c>
      <c r="I38" s="94">
        <f t="shared" si="0"/>
        <v>390</v>
      </c>
      <c r="J38" s="103"/>
      <c r="K38" s="80">
        <v>1335983.4944029816</v>
      </c>
      <c r="L38" s="163"/>
      <c r="M38" s="163"/>
      <c r="N38" s="94">
        <f t="shared" si="1"/>
        <v>1335983.4944029816</v>
      </c>
      <c r="O38" s="103"/>
      <c r="P38" s="80">
        <f>P$76*'TABLE 4 - October 2016 Dataset'!F38</f>
        <v>1071326.0999999999</v>
      </c>
      <c r="Q38" s="160"/>
      <c r="R38" s="161"/>
      <c r="S38" s="162">
        <f t="shared" si="4"/>
        <v>1071326.0999999999</v>
      </c>
      <c r="T38" s="165">
        <f>T$76*'TABLE 4 - October 2016 Dataset'!I38</f>
        <v>22440.00000000004</v>
      </c>
      <c r="U38" s="165">
        <f>U$76*'TABLE 4 - October 2016 Dataset'!J38</f>
        <v>43422.680412371134</v>
      </c>
      <c r="V38" s="165">
        <f>V$76*'TABLE 4 - October 2016 Dataset'!K38</f>
        <v>0</v>
      </c>
      <c r="W38" s="165">
        <f>W$76*'TABLE 4 - October 2016 Dataset'!L38</f>
        <v>0</v>
      </c>
      <c r="X38" s="165">
        <f>X$76*'TABLE 4 - October 2016 Dataset'!M38</f>
        <v>26725.581395348763</v>
      </c>
      <c r="Y38" s="165">
        <f>Y$76*'TABLE 4 - October 2016 Dataset'!N38</f>
        <v>1451.1627906976744</v>
      </c>
      <c r="Z38" s="165">
        <f>Z$76*'TABLE 4 - October 2016 Dataset'!O38</f>
        <v>0</v>
      </c>
      <c r="AA38" s="165">
        <f>AA$76*'TABLE 4 - October 2016 Dataset'!P38</f>
        <v>3023.2558139534867</v>
      </c>
      <c r="AB38" s="162">
        <f t="shared" si="5"/>
        <v>97062.680412371104</v>
      </c>
      <c r="AC38" s="140">
        <f>AC$76*'TABLE 4 - October 2016 Dataset'!Q38</f>
        <v>142073.2738063696</v>
      </c>
      <c r="AD38" s="140">
        <f>AD$76*'TABLE 4 - October 2016 Dataset'!R38</f>
        <v>7216.1676646706483</v>
      </c>
      <c r="AE38" s="140">
        <f>AE$76*'TABLE 4 - October 2016 Dataset'!S38</f>
        <v>0</v>
      </c>
      <c r="AF38" s="140">
        <f t="shared" si="6"/>
        <v>110000</v>
      </c>
      <c r="AG38" s="140">
        <f>IF('TABLE 4 - October 2016 Dataset'!X38="No",0,"*CHECK*")</f>
        <v>0</v>
      </c>
      <c r="AH38" s="140">
        <f>'TABLE 4 - October 2016 Dataset'!Y38</f>
        <v>21323.63</v>
      </c>
      <c r="AI38" s="170">
        <f>IF('TABLE 4 - October 2016 Dataset'!Z38&gt;0,('TABLE 4 - October 2016 Dataset'!Z38*(1+'TABLE 1 - 2018-19 Provisional'!AI$79)*(1+AI$79))-((AI$76*SUM('TABLE 4 - October 2016 Dataset'!F38:H38))+AI$77),0)</f>
        <v>0</v>
      </c>
      <c r="AJ38" s="166" t="str">
        <f>IF('TABLE 4 - October 2016 Dataset'!AA38="Yes",'TABLE 3 - Target Illustrative'!AJ$76*SUM('TABLE 4 - October 2016 Dataset'!F38:H38),"")</f>
        <v/>
      </c>
      <c r="AK38" s="140">
        <f t="shared" si="7"/>
        <v>0</v>
      </c>
      <c r="AL38" s="94">
        <f t="shared" si="8"/>
        <v>1449001.8518834112</v>
      </c>
      <c r="AM38" s="103"/>
      <c r="AN38" s="80">
        <f t="shared" si="2"/>
        <v>1427678.2218834113</v>
      </c>
      <c r="AO38" s="165">
        <f>AN38/SUM('TABLE 4 - October 2016 Dataset'!F38:H38)</f>
        <v>3660.7133894446442</v>
      </c>
      <c r="AP38" s="165">
        <f t="shared" si="3"/>
        <v>0</v>
      </c>
      <c r="AQ38" s="165">
        <f>AP38*SUM('TABLE 4 - October 2016 Dataset'!F38:H38)</f>
        <v>0</v>
      </c>
      <c r="AR38" s="94">
        <f t="shared" si="9"/>
        <v>1449001.8518834112</v>
      </c>
      <c r="AS38" s="103"/>
      <c r="AT38" s="80">
        <f>N38-(AF38+AG38+'TABLE 4 - October 2016 Dataset'!Y38)</f>
        <v>1204659.8644029815</v>
      </c>
      <c r="AU38" s="187">
        <f t="shared" si="10"/>
        <v>1317678.2218834111</v>
      </c>
      <c r="AV38" s="165">
        <f t="shared" si="11"/>
        <v>3088.8714471871322</v>
      </c>
      <c r="AW38" s="165">
        <f>AU38/SUM('TABLE 4 - October 2016 Dataset'!F38:H38)</f>
        <v>3378.6621073933616</v>
      </c>
      <c r="AX38" s="173">
        <f t="shared" si="12"/>
        <v>9.3817649960838079E-2</v>
      </c>
      <c r="AY38" s="173">
        <f t="shared" si="13"/>
        <v>0</v>
      </c>
      <c r="AZ38" s="175">
        <f t="shared" si="14"/>
        <v>0</v>
      </c>
      <c r="BA38" s="165">
        <f t="shared" si="15"/>
        <v>0</v>
      </c>
      <c r="BB38" s="94">
        <f t="shared" si="16"/>
        <v>1449001.8518834112</v>
      </c>
      <c r="BC38" s="103"/>
      <c r="BD38" s="80">
        <f t="shared" si="17"/>
        <v>1335983.4944029816</v>
      </c>
      <c r="BE38" s="122">
        <f t="shared" si="18"/>
        <v>3425.5987035973885</v>
      </c>
      <c r="BF38" s="264">
        <f t="shared" si="19"/>
        <v>1449001.8518834112</v>
      </c>
      <c r="BG38" s="81">
        <f>BF38/SUM('TABLE 4 - October 2016 Dataset'!F38:H38)</f>
        <v>3715.3893638036184</v>
      </c>
      <c r="BH38" s="264">
        <f t="shared" si="20"/>
        <v>113018.35748042958</v>
      </c>
      <c r="BI38" s="81">
        <f t="shared" si="20"/>
        <v>289.79066020622986</v>
      </c>
      <c r="BJ38" s="269">
        <f t="shared" si="21"/>
        <v>8.4595624088106558E-2</v>
      </c>
      <c r="BK38" s="103"/>
      <c r="BL38" s="80">
        <f>'TABLE 5 - DfE Published Figures'!T37</f>
        <v>1449000</v>
      </c>
      <c r="BM38" s="84">
        <f t="shared" si="22"/>
        <v>0</v>
      </c>
      <c r="BO38" s="103"/>
    </row>
    <row r="39" spans="2:67" ht="15.75">
      <c r="B39" s="198">
        <v>2058</v>
      </c>
      <c r="C39" s="60" t="s">
        <v>46</v>
      </c>
      <c r="D39" s="204"/>
      <c r="F39" s="80">
        <v>325</v>
      </c>
      <c r="G39" s="163"/>
      <c r="H39" s="164">
        <v>-2</v>
      </c>
      <c r="I39" s="94">
        <f t="shared" si="0"/>
        <v>323</v>
      </c>
      <c r="J39" s="103"/>
      <c r="K39" s="80">
        <v>1008878.2405584425</v>
      </c>
      <c r="L39" s="163"/>
      <c r="M39" s="163"/>
      <c r="N39" s="94">
        <f t="shared" si="1"/>
        <v>1008878.2405584425</v>
      </c>
      <c r="O39" s="103"/>
      <c r="P39" s="80">
        <f>P$76*'TABLE 4 - October 2016 Dataset'!F39</f>
        <v>887277.7699999999</v>
      </c>
      <c r="Q39" s="160"/>
      <c r="R39" s="161"/>
      <c r="S39" s="162">
        <f t="shared" si="4"/>
        <v>887277.7699999999</v>
      </c>
      <c r="T39" s="165">
        <f>T$76*'TABLE 4 - October 2016 Dataset'!I39</f>
        <v>2199.9999999999986</v>
      </c>
      <c r="U39" s="165">
        <f>U$76*'TABLE 4 - October 2016 Dataset'!J39</f>
        <v>7583.478260869565</v>
      </c>
      <c r="V39" s="165">
        <f>V$76*'TABLE 4 - October 2016 Dataset'!K39</f>
        <v>0</v>
      </c>
      <c r="W39" s="165">
        <f>W$76*'TABLE 4 - October 2016 Dataset'!L39</f>
        <v>0</v>
      </c>
      <c r="X39" s="165">
        <f>X$76*'TABLE 4 - October 2016 Dataset'!M39</f>
        <v>392.42990654205624</v>
      </c>
      <c r="Y39" s="165">
        <f>Y$76*'TABLE 4 - October 2016 Dataset'!N39</f>
        <v>0</v>
      </c>
      <c r="Z39" s="165">
        <f>Z$76*'TABLE 4 - October 2016 Dataset'!O39</f>
        <v>482.99065420560771</v>
      </c>
      <c r="AA39" s="165">
        <f>AA$76*'TABLE 4 - October 2016 Dataset'!P39</f>
        <v>1006.2305295950129</v>
      </c>
      <c r="AB39" s="162">
        <f t="shared" si="5"/>
        <v>11665.129351212241</v>
      </c>
      <c r="AC39" s="140">
        <f>AC$76*'TABLE 4 - October 2016 Dataset'!Q39</f>
        <v>84304.466352145202</v>
      </c>
      <c r="AD39" s="140">
        <f>AD$76*'TABLE 4 - October 2016 Dataset'!R39</f>
        <v>4249.6897810219061</v>
      </c>
      <c r="AE39" s="140">
        <f>AE$76*'TABLE 4 - October 2016 Dataset'!S39</f>
        <v>0</v>
      </c>
      <c r="AF39" s="140">
        <f t="shared" si="6"/>
        <v>110000</v>
      </c>
      <c r="AG39" s="140">
        <f>IF('TABLE 4 - October 2016 Dataset'!X39="No",0,"*CHECK*")</f>
        <v>0</v>
      </c>
      <c r="AH39" s="140">
        <f>'TABLE 4 - October 2016 Dataset'!Y39</f>
        <v>18906.95</v>
      </c>
      <c r="AI39" s="170">
        <f>IF('TABLE 4 - October 2016 Dataset'!Z39&gt;0,('TABLE 4 - October 2016 Dataset'!Z39*(1+'TABLE 1 - 2018-19 Provisional'!AI$79)*(1+AI$79))-((AI$76*SUM('TABLE 4 - October 2016 Dataset'!F39:H39))+AI$77),0)</f>
        <v>0</v>
      </c>
      <c r="AJ39" s="166" t="str">
        <f>IF('TABLE 4 - October 2016 Dataset'!AA39="Yes",'TABLE 3 - Target Illustrative'!AJ$76*SUM('TABLE 4 - October 2016 Dataset'!F39:H39),"")</f>
        <v/>
      </c>
      <c r="AK39" s="140">
        <f t="shared" si="7"/>
        <v>0</v>
      </c>
      <c r="AL39" s="94">
        <f t="shared" si="8"/>
        <v>1116404.0054843791</v>
      </c>
      <c r="AM39" s="103"/>
      <c r="AN39" s="80">
        <f t="shared" si="2"/>
        <v>1097497.0554843792</v>
      </c>
      <c r="AO39" s="165">
        <f>AN39/SUM('TABLE 4 - October 2016 Dataset'!F39:H39)</f>
        <v>3397.8237011900283</v>
      </c>
      <c r="AP39" s="165">
        <f t="shared" si="3"/>
        <v>102.17629880997174</v>
      </c>
      <c r="AQ39" s="165">
        <f>AP39*SUM('TABLE 4 - October 2016 Dataset'!F39:H39)</f>
        <v>33002.944515620875</v>
      </c>
      <c r="AR39" s="94">
        <f t="shared" si="9"/>
        <v>1149406.95</v>
      </c>
      <c r="AS39" s="103"/>
      <c r="AT39" s="80">
        <f>N39-(AF39+AG39+'TABLE 4 - October 2016 Dataset'!Y39)</f>
        <v>879971.29055844259</v>
      </c>
      <c r="AU39" s="187">
        <f t="shared" si="10"/>
        <v>1020500</v>
      </c>
      <c r="AV39" s="165">
        <f t="shared" si="11"/>
        <v>2724.3693206143735</v>
      </c>
      <c r="AW39" s="165">
        <f>AU39/SUM('TABLE 4 - October 2016 Dataset'!F39:H39)</f>
        <v>3159.4427244582043</v>
      </c>
      <c r="AX39" s="173">
        <f t="shared" si="12"/>
        <v>0.15969692528534174</v>
      </c>
      <c r="AY39" s="173">
        <f t="shared" si="13"/>
        <v>0</v>
      </c>
      <c r="AZ39" s="175">
        <f t="shared" si="14"/>
        <v>0</v>
      </c>
      <c r="BA39" s="165">
        <f t="shared" si="15"/>
        <v>0</v>
      </c>
      <c r="BB39" s="94">
        <f t="shared" si="16"/>
        <v>1149406.95</v>
      </c>
      <c r="BC39" s="103"/>
      <c r="BD39" s="80">
        <f t="shared" si="17"/>
        <v>1008878.2405584425</v>
      </c>
      <c r="BE39" s="122">
        <f t="shared" si="18"/>
        <v>3123.4620450725774</v>
      </c>
      <c r="BF39" s="264">
        <f t="shared" si="19"/>
        <v>1149406.95</v>
      </c>
      <c r="BG39" s="81">
        <f>BF39/SUM('TABLE 4 - October 2016 Dataset'!F39:H39)</f>
        <v>3558.5354489164083</v>
      </c>
      <c r="BH39" s="264">
        <f t="shared" si="20"/>
        <v>140528.70944155741</v>
      </c>
      <c r="BI39" s="81">
        <f t="shared" si="20"/>
        <v>435.07340384383087</v>
      </c>
      <c r="BJ39" s="269">
        <f t="shared" si="21"/>
        <v>0.13929204119197849</v>
      </c>
      <c r="BK39" s="103"/>
      <c r="BL39" s="80">
        <f>'TABLE 5 - DfE Published Figures'!T38</f>
        <v>1149000</v>
      </c>
      <c r="BM39" s="84">
        <f t="shared" si="22"/>
        <v>0</v>
      </c>
      <c r="BO39" s="103"/>
    </row>
    <row r="40" spans="2:67" ht="15.75">
      <c r="B40" s="198">
        <v>3212</v>
      </c>
      <c r="C40" s="60" t="s">
        <v>47</v>
      </c>
      <c r="D40" s="204" t="s">
        <v>72</v>
      </c>
      <c r="F40" s="80">
        <v>601</v>
      </c>
      <c r="G40" s="163"/>
      <c r="H40" s="164">
        <v>-3</v>
      </c>
      <c r="I40" s="94">
        <f t="shared" si="0"/>
        <v>598</v>
      </c>
      <c r="J40" s="103"/>
      <c r="K40" s="80">
        <v>1782556.8801418711</v>
      </c>
      <c r="L40" s="163"/>
      <c r="M40" s="163"/>
      <c r="N40" s="94">
        <f t="shared" si="1"/>
        <v>1782556.8801418711</v>
      </c>
      <c r="O40" s="103"/>
      <c r="P40" s="80">
        <f>P$76*'TABLE 4 - October 2016 Dataset'!F40</f>
        <v>1642700.0199999998</v>
      </c>
      <c r="Q40" s="160"/>
      <c r="R40" s="161"/>
      <c r="S40" s="162">
        <f t="shared" si="4"/>
        <v>1642700.0199999998</v>
      </c>
      <c r="T40" s="165">
        <f>T$76*'TABLE 4 - October 2016 Dataset'!I40</f>
        <v>7040.0000000000091</v>
      </c>
      <c r="U40" s="165">
        <f>U$76*'TABLE 4 - October 2016 Dataset'!J40</f>
        <v>20816.330578512396</v>
      </c>
      <c r="V40" s="165">
        <f>V$76*'TABLE 4 - October 2016 Dataset'!K40</f>
        <v>0</v>
      </c>
      <c r="W40" s="165">
        <f>W$76*'TABLE 4 - October 2016 Dataset'!L40</f>
        <v>844.23529411764821</v>
      </c>
      <c r="X40" s="165">
        <f>X$76*'TABLE 4 - October 2016 Dataset'!M40</f>
        <v>0</v>
      </c>
      <c r="Y40" s="165">
        <f>Y$76*'TABLE 4 - October 2016 Dataset'!N40</f>
        <v>361.81512605041951</v>
      </c>
      <c r="Z40" s="165">
        <f>Z$76*'TABLE 4 - October 2016 Dataset'!O40</f>
        <v>241.21008403361301</v>
      </c>
      <c r="AA40" s="165">
        <f>AA$76*'TABLE 4 - October 2016 Dataset'!P40</f>
        <v>402.01680672268958</v>
      </c>
      <c r="AB40" s="162">
        <f t="shared" si="5"/>
        <v>29705.607889436775</v>
      </c>
      <c r="AC40" s="140">
        <f>AC$76*'TABLE 4 - October 2016 Dataset'!Q40</f>
        <v>171446.65822784809</v>
      </c>
      <c r="AD40" s="140">
        <f>AD$76*'TABLE 4 - October 2016 Dataset'!R40</f>
        <v>11339.980620155042</v>
      </c>
      <c r="AE40" s="140">
        <f>AE$76*'TABLE 4 - October 2016 Dataset'!S40</f>
        <v>0</v>
      </c>
      <c r="AF40" s="140">
        <f t="shared" si="6"/>
        <v>110000</v>
      </c>
      <c r="AG40" s="140">
        <f>IF('TABLE 4 - October 2016 Dataset'!X40="No",0,"*CHECK*")</f>
        <v>0</v>
      </c>
      <c r="AH40" s="140">
        <f>'TABLE 4 - October 2016 Dataset'!Y40</f>
        <v>13344</v>
      </c>
      <c r="AI40" s="170">
        <f>IF('TABLE 4 - October 2016 Dataset'!Z40&gt;0,('TABLE 4 - October 2016 Dataset'!Z40*(1+'TABLE 1 - 2018-19 Provisional'!AI$79)*(1+AI$79))-((AI$76*SUM('TABLE 4 - October 2016 Dataset'!F40:H40))+AI$77),0)</f>
        <v>0</v>
      </c>
      <c r="AJ40" s="166" t="str">
        <f>IF('TABLE 4 - October 2016 Dataset'!AA40="Yes",'TABLE 3 - Target Illustrative'!AJ$76*SUM('TABLE 4 - October 2016 Dataset'!F40:H40),"")</f>
        <v/>
      </c>
      <c r="AK40" s="140">
        <f t="shared" si="7"/>
        <v>0</v>
      </c>
      <c r="AL40" s="94">
        <f t="shared" si="8"/>
        <v>1978536.2667374399</v>
      </c>
      <c r="AM40" s="103"/>
      <c r="AN40" s="80">
        <f t="shared" si="2"/>
        <v>1965192.2667374399</v>
      </c>
      <c r="AO40" s="165">
        <f>AN40/SUM('TABLE 4 - October 2016 Dataset'!F40:H40)</f>
        <v>3286.2746935408695</v>
      </c>
      <c r="AP40" s="165">
        <f t="shared" si="3"/>
        <v>213.72530645913048</v>
      </c>
      <c r="AQ40" s="165">
        <f>AP40*SUM('TABLE 4 - October 2016 Dataset'!F40:H40)</f>
        <v>127807.73326256002</v>
      </c>
      <c r="AR40" s="94">
        <f t="shared" si="9"/>
        <v>2106344</v>
      </c>
      <c r="AS40" s="103"/>
      <c r="AT40" s="80">
        <f>N40-(AF40+AG40+'TABLE 4 - October 2016 Dataset'!Y40)</f>
        <v>1659212.8801418711</v>
      </c>
      <c r="AU40" s="187">
        <f t="shared" si="10"/>
        <v>1983000</v>
      </c>
      <c r="AV40" s="165">
        <f t="shared" si="11"/>
        <v>2774.6034784981121</v>
      </c>
      <c r="AW40" s="165">
        <f>AU40/SUM('TABLE 4 - October 2016 Dataset'!F40:H40)</f>
        <v>3316.0535117056857</v>
      </c>
      <c r="AX40" s="173">
        <f t="shared" si="12"/>
        <v>0.1951450134779833</v>
      </c>
      <c r="AY40" s="173">
        <f t="shared" si="13"/>
        <v>0</v>
      </c>
      <c r="AZ40" s="175">
        <f t="shared" si="14"/>
        <v>0</v>
      </c>
      <c r="BA40" s="165">
        <f t="shared" si="15"/>
        <v>0</v>
      </c>
      <c r="BB40" s="94">
        <f t="shared" si="16"/>
        <v>2106344</v>
      </c>
      <c r="BC40" s="103"/>
      <c r="BD40" s="80">
        <f t="shared" si="17"/>
        <v>1782556.8801418711</v>
      </c>
      <c r="BE40" s="122">
        <f t="shared" si="18"/>
        <v>2980.8643480633295</v>
      </c>
      <c r="BF40" s="264">
        <f t="shared" si="19"/>
        <v>2106344</v>
      </c>
      <c r="BG40" s="81">
        <f>BF40/SUM('TABLE 4 - October 2016 Dataset'!F40:H40)</f>
        <v>3522.3143812709031</v>
      </c>
      <c r="BH40" s="264">
        <f t="shared" si="20"/>
        <v>323787.11985812895</v>
      </c>
      <c r="BI40" s="81">
        <f t="shared" si="20"/>
        <v>541.4500332075736</v>
      </c>
      <c r="BJ40" s="269">
        <f t="shared" si="21"/>
        <v>0.18164195682348117</v>
      </c>
      <c r="BK40" s="103"/>
      <c r="BL40" s="80">
        <f>'TABLE 5 - DfE Published Figures'!T39</f>
        <v>2093000</v>
      </c>
      <c r="BM40" s="84">
        <f t="shared" si="22"/>
        <v>13000</v>
      </c>
      <c r="BO40" s="103"/>
    </row>
    <row r="41" spans="2:67" ht="15.75">
      <c r="B41" s="198">
        <v>2349</v>
      </c>
      <c r="C41" s="60" t="s">
        <v>48</v>
      </c>
      <c r="D41" s="204"/>
      <c r="F41" s="80">
        <v>93</v>
      </c>
      <c r="G41" s="163"/>
      <c r="H41" s="164">
        <v>0</v>
      </c>
      <c r="I41" s="94">
        <f t="shared" si="0"/>
        <v>93</v>
      </c>
      <c r="J41" s="103"/>
      <c r="K41" s="80">
        <v>427251.78980446298</v>
      </c>
      <c r="L41" s="163"/>
      <c r="M41" s="163"/>
      <c r="N41" s="94">
        <f t="shared" si="1"/>
        <v>427251.78980446298</v>
      </c>
      <c r="O41" s="103"/>
      <c r="P41" s="80">
        <f>P$76*'TABLE 4 - October 2016 Dataset'!F41</f>
        <v>255470.06999999998</v>
      </c>
      <c r="Q41" s="160"/>
      <c r="R41" s="161"/>
      <c r="S41" s="162">
        <f t="shared" si="4"/>
        <v>255470.06999999998</v>
      </c>
      <c r="T41" s="165">
        <f>T$76*'TABLE 4 - October 2016 Dataset'!I41</f>
        <v>2640.0000000000014</v>
      </c>
      <c r="U41" s="165">
        <f>U$76*'TABLE 4 - October 2016 Dataset'!J41</f>
        <v>3362.3684210526349</v>
      </c>
      <c r="V41" s="165">
        <f>V$76*'TABLE 4 - October 2016 Dataset'!K41</f>
        <v>0</v>
      </c>
      <c r="W41" s="165">
        <f>W$76*'TABLE 4 - October 2016 Dataset'!L41</f>
        <v>0</v>
      </c>
      <c r="X41" s="165">
        <f>X$76*'TABLE 4 - October 2016 Dataset'!M41</f>
        <v>0</v>
      </c>
      <c r="Y41" s="165">
        <f>Y$76*'TABLE 4 - October 2016 Dataset'!N41</f>
        <v>1439.9999999999986</v>
      </c>
      <c r="Z41" s="165">
        <f>Z$76*'TABLE 4 - October 2016 Dataset'!O41</f>
        <v>0</v>
      </c>
      <c r="AA41" s="165">
        <f>AA$76*'TABLE 4 - October 2016 Dataset'!P41</f>
        <v>1000.0000000000009</v>
      </c>
      <c r="AB41" s="162">
        <f t="shared" si="5"/>
        <v>8442.3684210526371</v>
      </c>
      <c r="AC41" s="140">
        <f>AC$76*'TABLE 4 - October 2016 Dataset'!Q41</f>
        <v>18541.139240506342</v>
      </c>
      <c r="AD41" s="140">
        <f>AD$76*'TABLE 4 - October 2016 Dataset'!R41</f>
        <v>0</v>
      </c>
      <c r="AE41" s="140">
        <f>AE$76*'TABLE 4 - October 2016 Dataset'!S41</f>
        <v>2630.6999999999898</v>
      </c>
      <c r="AF41" s="140">
        <f t="shared" si="6"/>
        <v>110000</v>
      </c>
      <c r="AG41" s="140">
        <f>IF('TABLE 4 - October 2016 Dataset'!X41="No",0,"*CHECK*")</f>
        <v>0</v>
      </c>
      <c r="AH41" s="140">
        <f>'TABLE 4 - October 2016 Dataset'!Y41</f>
        <v>7676.51</v>
      </c>
      <c r="AI41" s="170">
        <f>IF('TABLE 4 - October 2016 Dataset'!Z41&gt;0,('TABLE 4 - October 2016 Dataset'!Z41*(1+'TABLE 1 - 2018-19 Provisional'!AI$79)*(1+AI$79))-((AI$76*SUM('TABLE 4 - October 2016 Dataset'!F41:H41))+AI$77),0)</f>
        <v>0</v>
      </c>
      <c r="AJ41" s="166" t="str">
        <f>IF('TABLE 4 - October 2016 Dataset'!AA41="Yes",'TABLE 3 - Target Illustrative'!AJ$76*SUM('TABLE 4 - October 2016 Dataset'!F41:H41),"")</f>
        <v/>
      </c>
      <c r="AK41" s="140">
        <f t="shared" si="7"/>
        <v>0</v>
      </c>
      <c r="AL41" s="94">
        <f t="shared" si="8"/>
        <v>402760.78766155895</v>
      </c>
      <c r="AM41" s="103"/>
      <c r="AN41" s="80">
        <f t="shared" si="2"/>
        <v>395084.27766155894</v>
      </c>
      <c r="AO41" s="165">
        <f>AN41/SUM('TABLE 4 - October 2016 Dataset'!F41:H41)</f>
        <v>4248.2180393716017</v>
      </c>
      <c r="AP41" s="165">
        <f t="shared" si="3"/>
        <v>0</v>
      </c>
      <c r="AQ41" s="165">
        <f>AP41*SUM('TABLE 4 - October 2016 Dataset'!F41:H41)</f>
        <v>0</v>
      </c>
      <c r="AR41" s="94">
        <f t="shared" si="9"/>
        <v>402760.78766155895</v>
      </c>
      <c r="AS41" s="103"/>
      <c r="AT41" s="80">
        <f>N41-(AF41+AG41+'TABLE 4 - October 2016 Dataset'!Y41)</f>
        <v>309575.27980446297</v>
      </c>
      <c r="AU41" s="187">
        <f t="shared" si="10"/>
        <v>285084.27766155894</v>
      </c>
      <c r="AV41" s="165">
        <f t="shared" si="11"/>
        <v>3328.7664495103545</v>
      </c>
      <c r="AW41" s="165">
        <f>AU41/SUM('TABLE 4 - October 2016 Dataset'!F41:H41)</f>
        <v>3065.4223404468703</v>
      </c>
      <c r="AX41" s="173">
        <f t="shared" si="12"/>
        <v>-7.911162079340861E-2</v>
      </c>
      <c r="AY41" s="173">
        <f t="shared" si="13"/>
        <v>8.9111620793408605E-2</v>
      </c>
      <c r="AZ41" s="175">
        <f t="shared" si="14"/>
        <v>296.63177355858784</v>
      </c>
      <c r="BA41" s="165">
        <f t="shared" si="15"/>
        <v>27586.754940948667</v>
      </c>
      <c r="BB41" s="94">
        <f t="shared" si="16"/>
        <v>430347.54260250763</v>
      </c>
      <c r="BC41" s="103"/>
      <c r="BD41" s="80">
        <f t="shared" si="17"/>
        <v>427251.78980446298</v>
      </c>
      <c r="BE41" s="122">
        <f t="shared" si="18"/>
        <v>4594.105266714656</v>
      </c>
      <c r="BF41" s="264">
        <f t="shared" si="19"/>
        <v>430347.54260250763</v>
      </c>
      <c r="BG41" s="81">
        <f>BF41/SUM('TABLE 4 - October 2016 Dataset'!F41:H41)</f>
        <v>4627.3929312097598</v>
      </c>
      <c r="BH41" s="264">
        <f t="shared" si="20"/>
        <v>3095.7527980446466</v>
      </c>
      <c r="BI41" s="81">
        <f t="shared" si="20"/>
        <v>33.287664495103854</v>
      </c>
      <c r="BJ41" s="269">
        <f t="shared" si="21"/>
        <v>7.2457339487365692E-3</v>
      </c>
      <c r="BK41" s="103"/>
      <c r="BL41" s="80">
        <f>'TABLE 5 - DfE Published Figures'!T40</f>
        <v>430000</v>
      </c>
      <c r="BM41" s="84">
        <f t="shared" si="22"/>
        <v>0</v>
      </c>
      <c r="BO41" s="103"/>
    </row>
    <row r="42" spans="2:67" ht="15.75">
      <c r="B42" s="198">
        <v>2016</v>
      </c>
      <c r="C42" s="60" t="s">
        <v>50</v>
      </c>
      <c r="D42" s="204" t="s">
        <v>73</v>
      </c>
      <c r="F42" s="80">
        <v>341</v>
      </c>
      <c r="G42" s="163"/>
      <c r="H42" s="164">
        <v>0</v>
      </c>
      <c r="I42" s="94">
        <f t="shared" si="0"/>
        <v>341</v>
      </c>
      <c r="J42" s="103"/>
      <c r="K42" s="80">
        <v>1125452.9398322031</v>
      </c>
      <c r="L42" s="163"/>
      <c r="M42" s="163"/>
      <c r="N42" s="94">
        <f t="shared" si="1"/>
        <v>1125452.9398322031</v>
      </c>
      <c r="O42" s="103"/>
      <c r="P42" s="80">
        <f>P$76*'TABLE 4 - October 2016 Dataset'!F42</f>
        <v>936723.59</v>
      </c>
      <c r="Q42" s="160"/>
      <c r="R42" s="161"/>
      <c r="S42" s="162">
        <f t="shared" si="4"/>
        <v>936723.59</v>
      </c>
      <c r="T42" s="165">
        <f>T$76*'TABLE 4 - October 2016 Dataset'!I42</f>
        <v>12759.999999999996</v>
      </c>
      <c r="U42" s="165">
        <f>U$76*'TABLE 4 - October 2016 Dataset'!J42</f>
        <v>23796.553846153849</v>
      </c>
      <c r="V42" s="165">
        <f>V$76*'TABLE 4 - October 2016 Dataset'!K42</f>
        <v>0</v>
      </c>
      <c r="W42" s="165">
        <f>W$76*'TABLE 4 - October 2016 Dataset'!L42</f>
        <v>419.99999999999943</v>
      </c>
      <c r="X42" s="165">
        <f>X$76*'TABLE 4 - October 2016 Dataset'!M42</f>
        <v>780.00000000000034</v>
      </c>
      <c r="Y42" s="165">
        <f>Y$76*'TABLE 4 - October 2016 Dataset'!N42</f>
        <v>720.00000000000034</v>
      </c>
      <c r="Z42" s="165">
        <f>Z$76*'TABLE 4 - October 2016 Dataset'!O42</f>
        <v>21599.999999999964</v>
      </c>
      <c r="AA42" s="165">
        <f>AA$76*'TABLE 4 - October 2016 Dataset'!P42</f>
        <v>599.99999999999989</v>
      </c>
      <c r="AB42" s="162">
        <f t="shared" si="5"/>
        <v>60676.553846153809</v>
      </c>
      <c r="AC42" s="140">
        <f>AC$76*'TABLE 4 - October 2016 Dataset'!Q42</f>
        <v>96478.893446690417</v>
      </c>
      <c r="AD42" s="140">
        <f>AD$76*'TABLE 4 - October 2016 Dataset'!R42</f>
        <v>10475.280701754378</v>
      </c>
      <c r="AE42" s="140">
        <f>AE$76*'TABLE 4 - October 2016 Dataset'!S42</f>
        <v>0</v>
      </c>
      <c r="AF42" s="140">
        <f t="shared" si="6"/>
        <v>110000</v>
      </c>
      <c r="AG42" s="140">
        <f>IF('TABLE 4 - October 2016 Dataset'!X42="No",0,"*CHECK*")</f>
        <v>0</v>
      </c>
      <c r="AH42" s="140">
        <f>'TABLE 4 - October 2016 Dataset'!Y42</f>
        <v>3866.68</v>
      </c>
      <c r="AI42" s="170">
        <f>IF('TABLE 4 - October 2016 Dataset'!Z42&gt;0,('TABLE 4 - October 2016 Dataset'!Z42*(1+'TABLE 1 - 2018-19 Provisional'!AI$79)*(1+AI$79))-((AI$76*SUM('TABLE 4 - October 2016 Dataset'!F42:H42))+AI$77),0)</f>
        <v>0</v>
      </c>
      <c r="AJ42" s="166" t="str">
        <f>IF('TABLE 4 - October 2016 Dataset'!AA42="Yes",'TABLE 3 - Target Illustrative'!AJ$76*SUM('TABLE 4 - October 2016 Dataset'!F42:H42),"")</f>
        <v/>
      </c>
      <c r="AK42" s="140">
        <f t="shared" si="7"/>
        <v>0</v>
      </c>
      <c r="AL42" s="94">
        <f t="shared" si="8"/>
        <v>1218220.9979945985</v>
      </c>
      <c r="AM42" s="103"/>
      <c r="AN42" s="80">
        <f t="shared" si="2"/>
        <v>1214354.3179945985</v>
      </c>
      <c r="AO42" s="165">
        <f>AN42/SUM('TABLE 4 - October 2016 Dataset'!F42:H42)</f>
        <v>3561.1563577554211</v>
      </c>
      <c r="AP42" s="165">
        <f t="shared" si="3"/>
        <v>0</v>
      </c>
      <c r="AQ42" s="165">
        <f>AP42*SUM('TABLE 4 - October 2016 Dataset'!F42:H42)</f>
        <v>0</v>
      </c>
      <c r="AR42" s="94">
        <f t="shared" si="9"/>
        <v>1218220.9979945985</v>
      </c>
      <c r="AS42" s="103"/>
      <c r="AT42" s="80">
        <f>N42-(AF42+AG42+'TABLE 4 - October 2016 Dataset'!Y42)</f>
        <v>1011586.2598322032</v>
      </c>
      <c r="AU42" s="187">
        <f t="shared" si="10"/>
        <v>1104354.3179945985</v>
      </c>
      <c r="AV42" s="165">
        <f t="shared" si="11"/>
        <v>2966.5286212088067</v>
      </c>
      <c r="AW42" s="165">
        <f>AU42/SUM('TABLE 4 - October 2016 Dataset'!F42:H42)</f>
        <v>3238.5757125941304</v>
      </c>
      <c r="AX42" s="173">
        <f t="shared" si="12"/>
        <v>9.1705534017220813E-2</v>
      </c>
      <c r="AY42" s="173">
        <f t="shared" si="13"/>
        <v>0</v>
      </c>
      <c r="AZ42" s="175">
        <f t="shared" si="14"/>
        <v>0</v>
      </c>
      <c r="BA42" s="165">
        <f t="shared" si="15"/>
        <v>0</v>
      </c>
      <c r="BB42" s="94">
        <f t="shared" si="16"/>
        <v>1218220.9979945985</v>
      </c>
      <c r="BC42" s="103"/>
      <c r="BD42" s="80">
        <f t="shared" si="17"/>
        <v>1125452.9398322031</v>
      </c>
      <c r="BE42" s="122">
        <f t="shared" si="18"/>
        <v>3300.448503906754</v>
      </c>
      <c r="BF42" s="264">
        <f t="shared" si="19"/>
        <v>1218220.9979945985</v>
      </c>
      <c r="BG42" s="81">
        <f>BF42/SUM('TABLE 4 - October 2016 Dataset'!F42:H42)</f>
        <v>3572.4955952920777</v>
      </c>
      <c r="BH42" s="264">
        <f t="shared" si="20"/>
        <v>92768.058162395377</v>
      </c>
      <c r="BI42" s="81">
        <f t="shared" si="20"/>
        <v>272.04709138532371</v>
      </c>
      <c r="BJ42" s="269">
        <f t="shared" si="21"/>
        <v>8.2427309822680303E-2</v>
      </c>
      <c r="BK42" s="103"/>
      <c r="BL42" s="80">
        <f>'TABLE 5 - DfE Published Figures'!T41</f>
        <v>1214000</v>
      </c>
      <c r="BM42" s="84">
        <f t="shared" si="22"/>
        <v>4000</v>
      </c>
      <c r="BO42" s="103"/>
    </row>
    <row r="43" spans="2:67" ht="15.75">
      <c r="B43" s="198">
        <v>2169</v>
      </c>
      <c r="C43" s="60" t="s">
        <v>51</v>
      </c>
      <c r="D43" s="204"/>
      <c r="F43" s="80">
        <v>80</v>
      </c>
      <c r="G43" s="163"/>
      <c r="H43" s="164">
        <v>0</v>
      </c>
      <c r="I43" s="94">
        <f t="shared" si="0"/>
        <v>80</v>
      </c>
      <c r="J43" s="103"/>
      <c r="K43" s="80">
        <v>400175.05941763445</v>
      </c>
      <c r="L43" s="163"/>
      <c r="M43" s="163"/>
      <c r="N43" s="94">
        <f t="shared" si="1"/>
        <v>400175.05941763445</v>
      </c>
      <c r="O43" s="103"/>
      <c r="P43" s="80">
        <f>P$76*'TABLE 4 - October 2016 Dataset'!F43</f>
        <v>219759.19999999998</v>
      </c>
      <c r="Q43" s="160"/>
      <c r="R43" s="161"/>
      <c r="S43" s="162">
        <f t="shared" si="4"/>
        <v>219759.19999999998</v>
      </c>
      <c r="T43" s="165">
        <f>T$76*'TABLE 4 - October 2016 Dataset'!I43</f>
        <v>3520</v>
      </c>
      <c r="U43" s="165">
        <f>U$76*'TABLE 4 - October 2016 Dataset'!J43</f>
        <v>10924.137931034484</v>
      </c>
      <c r="V43" s="165">
        <f>V$76*'TABLE 4 - October 2016 Dataset'!K43</f>
        <v>0</v>
      </c>
      <c r="W43" s="165">
        <f>W$76*'TABLE 4 - October 2016 Dataset'!L43</f>
        <v>840</v>
      </c>
      <c r="X43" s="165">
        <f>X$76*'TABLE 4 - October 2016 Dataset'!M43</f>
        <v>0</v>
      </c>
      <c r="Y43" s="165">
        <f>Y$76*'TABLE 4 - October 2016 Dataset'!N43</f>
        <v>360</v>
      </c>
      <c r="Z43" s="165">
        <f>Z$76*'TABLE 4 - October 2016 Dataset'!O43</f>
        <v>0</v>
      </c>
      <c r="AA43" s="165">
        <f>AA$76*'TABLE 4 - October 2016 Dataset'!P43</f>
        <v>200</v>
      </c>
      <c r="AB43" s="162">
        <f t="shared" si="5"/>
        <v>15844.137931034484</v>
      </c>
      <c r="AC43" s="140">
        <f>AC$76*'TABLE 4 - October 2016 Dataset'!Q43</f>
        <v>24475.972540045757</v>
      </c>
      <c r="AD43" s="140">
        <f>AD$76*'TABLE 4 - October 2016 Dataset'!R43</f>
        <v>597.10144927536214</v>
      </c>
      <c r="AE43" s="140">
        <f>AE$76*'TABLE 4 - October 2016 Dataset'!S43</f>
        <v>0</v>
      </c>
      <c r="AF43" s="140">
        <f t="shared" si="6"/>
        <v>110000</v>
      </c>
      <c r="AG43" s="140">
        <f>IF('TABLE 4 - October 2016 Dataset'!X43="No",0,"*CHECK*")</f>
        <v>0</v>
      </c>
      <c r="AH43" s="140">
        <f>'TABLE 4 - October 2016 Dataset'!Y43</f>
        <v>12240</v>
      </c>
      <c r="AI43" s="170">
        <f>IF('TABLE 4 - October 2016 Dataset'!Z43&gt;0,('TABLE 4 - October 2016 Dataset'!Z43*(1+'TABLE 1 - 2018-19 Provisional'!AI$79)*(1+AI$79))-((AI$76*SUM('TABLE 4 - October 2016 Dataset'!F43:H43))+AI$77),0)</f>
        <v>0</v>
      </c>
      <c r="AJ43" s="166" t="str">
        <f>IF('TABLE 4 - October 2016 Dataset'!AA43="Yes",'TABLE 3 - Target Illustrative'!AJ$76*SUM('TABLE 4 - October 2016 Dataset'!F43:H43),"")</f>
        <v/>
      </c>
      <c r="AK43" s="140">
        <f t="shared" si="7"/>
        <v>0</v>
      </c>
      <c r="AL43" s="94">
        <f t="shared" si="8"/>
        <v>382916.41192035563</v>
      </c>
      <c r="AM43" s="103"/>
      <c r="AN43" s="80">
        <f t="shared" si="2"/>
        <v>370676.41192035563</v>
      </c>
      <c r="AO43" s="165">
        <f>AN43/SUM('TABLE 4 - October 2016 Dataset'!F43:H43)</f>
        <v>4633.455149004445</v>
      </c>
      <c r="AP43" s="165">
        <f t="shared" si="3"/>
        <v>0</v>
      </c>
      <c r="AQ43" s="165">
        <f>AP43*SUM('TABLE 4 - October 2016 Dataset'!F43:H43)</f>
        <v>0</v>
      </c>
      <c r="AR43" s="94">
        <f t="shared" si="9"/>
        <v>382916.41192035563</v>
      </c>
      <c r="AS43" s="103"/>
      <c r="AT43" s="80">
        <f>N43-(AF43+AG43+'TABLE 4 - October 2016 Dataset'!Y43)</f>
        <v>277935.05941763445</v>
      </c>
      <c r="AU43" s="187">
        <f t="shared" si="10"/>
        <v>260676.41192035563</v>
      </c>
      <c r="AV43" s="165">
        <f t="shared" si="11"/>
        <v>3474.1882427204305</v>
      </c>
      <c r="AW43" s="165">
        <f>AU43/SUM('TABLE 4 - October 2016 Dataset'!F43:H43)</f>
        <v>3258.4551490044455</v>
      </c>
      <c r="AX43" s="173">
        <f t="shared" si="12"/>
        <v>-6.2095971387853499E-2</v>
      </c>
      <c r="AY43" s="173">
        <f t="shared" si="13"/>
        <v>7.2095971387853494E-2</v>
      </c>
      <c r="AZ43" s="175">
        <f t="shared" si="14"/>
        <v>250.47497614318917</v>
      </c>
      <c r="BA43" s="165">
        <f t="shared" si="15"/>
        <v>20037.998091455134</v>
      </c>
      <c r="BB43" s="94">
        <f t="shared" si="16"/>
        <v>402954.41001181077</v>
      </c>
      <c r="BC43" s="103"/>
      <c r="BD43" s="80">
        <f t="shared" si="17"/>
        <v>400175.05941763445</v>
      </c>
      <c r="BE43" s="122">
        <f t="shared" si="18"/>
        <v>5002.1882427204309</v>
      </c>
      <c r="BF43" s="264">
        <f t="shared" si="19"/>
        <v>402954.41001181077</v>
      </c>
      <c r="BG43" s="81">
        <f>BF43/SUM('TABLE 4 - October 2016 Dataset'!F43:H43)</f>
        <v>5036.9301251476345</v>
      </c>
      <c r="BH43" s="264">
        <f t="shared" si="20"/>
        <v>2779.3505941763287</v>
      </c>
      <c r="BI43" s="81">
        <f t="shared" si="20"/>
        <v>34.741882427203564</v>
      </c>
      <c r="BJ43" s="269">
        <f t="shared" si="21"/>
        <v>6.9453368688718632E-3</v>
      </c>
      <c r="BK43" s="103"/>
      <c r="BL43" s="80">
        <f>'TABLE 5 - DfE Published Figures'!T42</f>
        <v>403000</v>
      </c>
      <c r="BM43" s="84">
        <f t="shared" si="22"/>
        <v>0</v>
      </c>
      <c r="BO43" s="103"/>
    </row>
    <row r="44" spans="2:67" ht="15.75">
      <c r="B44" s="198">
        <v>3401</v>
      </c>
      <c r="C44" s="60" t="s">
        <v>52</v>
      </c>
      <c r="D44" s="204"/>
      <c r="F44" s="80">
        <v>198</v>
      </c>
      <c r="G44" s="163"/>
      <c r="H44" s="164">
        <v>-1</v>
      </c>
      <c r="I44" s="94">
        <f t="shared" si="0"/>
        <v>197</v>
      </c>
      <c r="J44" s="103"/>
      <c r="K44" s="80">
        <v>729532.8116316197</v>
      </c>
      <c r="L44" s="163"/>
      <c r="M44" s="163"/>
      <c r="N44" s="94">
        <f t="shared" si="1"/>
        <v>729532.8116316197</v>
      </c>
      <c r="O44" s="103"/>
      <c r="P44" s="80">
        <f>P$76*'TABLE 4 - October 2016 Dataset'!F44</f>
        <v>541157.02999999991</v>
      </c>
      <c r="Q44" s="160"/>
      <c r="R44" s="161"/>
      <c r="S44" s="162">
        <f t="shared" si="4"/>
        <v>541157.02999999991</v>
      </c>
      <c r="T44" s="165">
        <f>T$76*'TABLE 4 - October 2016 Dataset'!I44</f>
        <v>13640.000000000038</v>
      </c>
      <c r="U44" s="165">
        <f>U$76*'TABLE 4 - October 2016 Dataset'!J44</f>
        <v>27848.167539267015</v>
      </c>
      <c r="V44" s="165">
        <f>V$76*'TABLE 4 - October 2016 Dataset'!K44</f>
        <v>0</v>
      </c>
      <c r="W44" s="165">
        <f>W$76*'TABLE 4 - October 2016 Dataset'!L44</f>
        <v>15197.142857142848</v>
      </c>
      <c r="X44" s="165">
        <f>X$76*'TABLE 4 - October 2016 Dataset'!M44</f>
        <v>1567.9591836734676</v>
      </c>
      <c r="Y44" s="165">
        <f>Y$76*'TABLE 4 - October 2016 Dataset'!N44</f>
        <v>0</v>
      </c>
      <c r="Z44" s="165">
        <f>Z$76*'TABLE 4 - October 2016 Dataset'!O44</f>
        <v>0</v>
      </c>
      <c r="AA44" s="165">
        <f>AA$76*'TABLE 4 - October 2016 Dataset'!P44</f>
        <v>16282.653061224491</v>
      </c>
      <c r="AB44" s="162">
        <f t="shared" si="5"/>
        <v>74535.922641307858</v>
      </c>
      <c r="AC44" s="140">
        <f>AC$76*'TABLE 4 - October 2016 Dataset'!Q44</f>
        <v>78389.583333333358</v>
      </c>
      <c r="AD44" s="140">
        <f>AD$76*'TABLE 4 - October 2016 Dataset'!R44</f>
        <v>4177.5588235294126</v>
      </c>
      <c r="AE44" s="140">
        <f>AE$76*'TABLE 4 - October 2016 Dataset'!S44</f>
        <v>0</v>
      </c>
      <c r="AF44" s="140">
        <f t="shared" si="6"/>
        <v>110000</v>
      </c>
      <c r="AG44" s="140">
        <f>IF('TABLE 4 - October 2016 Dataset'!X44="No",0,"*CHECK*")</f>
        <v>0</v>
      </c>
      <c r="AH44" s="140">
        <f>'TABLE 4 - October 2016 Dataset'!Y44</f>
        <v>2757.86</v>
      </c>
      <c r="AI44" s="170">
        <f>IF('TABLE 4 - October 2016 Dataset'!Z44&gt;0,('TABLE 4 - October 2016 Dataset'!Z44*(1+'TABLE 1 - 2018-19 Provisional'!AI$79)*(1+AI$79))-((AI$76*SUM('TABLE 4 - October 2016 Dataset'!F44:H44))+AI$77),0)</f>
        <v>0</v>
      </c>
      <c r="AJ44" s="166" t="str">
        <f>IF('TABLE 4 - October 2016 Dataset'!AA44="Yes",'TABLE 3 - Target Illustrative'!AJ$76*SUM('TABLE 4 - October 2016 Dataset'!F44:H44),"")</f>
        <v/>
      </c>
      <c r="AK44" s="140">
        <f t="shared" si="7"/>
        <v>0</v>
      </c>
      <c r="AL44" s="94">
        <f t="shared" si="8"/>
        <v>811017.95479817048</v>
      </c>
      <c r="AM44" s="103"/>
      <c r="AN44" s="80">
        <f t="shared" si="2"/>
        <v>808260.0947981705</v>
      </c>
      <c r="AO44" s="165">
        <f>AN44/SUM('TABLE 4 - October 2016 Dataset'!F44:H44)</f>
        <v>4102.843120802896</v>
      </c>
      <c r="AP44" s="165">
        <f t="shared" si="3"/>
        <v>0</v>
      </c>
      <c r="AQ44" s="165">
        <f>AP44*SUM('TABLE 4 - October 2016 Dataset'!F44:H44)</f>
        <v>0</v>
      </c>
      <c r="AR44" s="94">
        <f t="shared" si="9"/>
        <v>811017.95479817048</v>
      </c>
      <c r="AS44" s="103"/>
      <c r="AT44" s="80">
        <f>N44-(AF44+AG44+'TABLE 4 - October 2016 Dataset'!Y44)</f>
        <v>616774.95163161971</v>
      </c>
      <c r="AU44" s="187">
        <f t="shared" si="10"/>
        <v>698260.0947981705</v>
      </c>
      <c r="AV44" s="165">
        <f t="shared" si="11"/>
        <v>3130.8373179270038</v>
      </c>
      <c r="AW44" s="165">
        <f>AU44/SUM('TABLE 4 - October 2016 Dataset'!F44:H44)</f>
        <v>3544.4674862851293</v>
      </c>
      <c r="AX44" s="173">
        <f t="shared" si="12"/>
        <v>0.13211487099304131</v>
      </c>
      <c r="AY44" s="173">
        <f t="shared" si="13"/>
        <v>0</v>
      </c>
      <c r="AZ44" s="175">
        <f t="shared" si="14"/>
        <v>0</v>
      </c>
      <c r="BA44" s="165">
        <f t="shared" si="15"/>
        <v>0</v>
      </c>
      <c r="BB44" s="94">
        <f t="shared" si="16"/>
        <v>811017.95479817048</v>
      </c>
      <c r="BC44" s="103"/>
      <c r="BD44" s="80">
        <f t="shared" si="17"/>
        <v>729532.8116316197</v>
      </c>
      <c r="BE44" s="122">
        <f t="shared" si="18"/>
        <v>3703.2122417848714</v>
      </c>
      <c r="BF44" s="264">
        <f t="shared" si="19"/>
        <v>811017.95479817048</v>
      </c>
      <c r="BG44" s="81">
        <f>BF44/SUM('TABLE 4 - October 2016 Dataset'!F44:H44)</f>
        <v>4116.8424101429973</v>
      </c>
      <c r="BH44" s="264">
        <f t="shared" si="20"/>
        <v>81485.143166550784</v>
      </c>
      <c r="BI44" s="81">
        <f t="shared" si="20"/>
        <v>413.63016835812596</v>
      </c>
      <c r="BJ44" s="269">
        <f t="shared" si="21"/>
        <v>0.11169496678882354</v>
      </c>
      <c r="BK44" s="103"/>
      <c r="BL44" s="80">
        <f>'TABLE 5 - DfE Published Figures'!T43</f>
        <v>811000</v>
      </c>
      <c r="BM44" s="84">
        <f t="shared" si="22"/>
        <v>0</v>
      </c>
      <c r="BO44" s="103"/>
    </row>
    <row r="45" spans="2:67" ht="15.75">
      <c r="B45" s="198">
        <v>3002</v>
      </c>
      <c r="C45" s="60" t="s">
        <v>49</v>
      </c>
      <c r="D45" s="204"/>
      <c r="F45" s="80">
        <v>152</v>
      </c>
      <c r="G45" s="163"/>
      <c r="H45" s="164">
        <v>0</v>
      </c>
      <c r="I45" s="94">
        <f t="shared" si="0"/>
        <v>152</v>
      </c>
      <c r="J45" s="103"/>
      <c r="K45" s="80">
        <v>753025.69560504716</v>
      </c>
      <c r="L45" s="163"/>
      <c r="M45" s="108">
        <v>34003.516666666997</v>
      </c>
      <c r="N45" s="94">
        <f t="shared" si="1"/>
        <v>787029.21227171412</v>
      </c>
      <c r="O45" s="103"/>
      <c r="P45" s="80">
        <f>P$76*'TABLE 4 - October 2016 Dataset'!F45</f>
        <v>417542.48</v>
      </c>
      <c r="Q45" s="160"/>
      <c r="R45" s="161"/>
      <c r="S45" s="162">
        <f t="shared" si="4"/>
        <v>417542.48</v>
      </c>
      <c r="T45" s="165">
        <f>T$76*'TABLE 4 - October 2016 Dataset'!I45</f>
        <v>7920.0000000000027</v>
      </c>
      <c r="U45" s="165">
        <f>U$76*'TABLE 4 - October 2016 Dataset'!J45</f>
        <v>24076.799999999999</v>
      </c>
      <c r="V45" s="165">
        <f>V$76*'TABLE 4 - October 2016 Dataset'!K45</f>
        <v>0</v>
      </c>
      <c r="W45" s="165">
        <f>W$76*'TABLE 4 - October 2016 Dataset'!L45</f>
        <v>1260.0000000000025</v>
      </c>
      <c r="X45" s="165">
        <f>X$76*'TABLE 4 - October 2016 Dataset'!M45</f>
        <v>4679.9999999999982</v>
      </c>
      <c r="Y45" s="165">
        <f>Y$76*'TABLE 4 - October 2016 Dataset'!N45</f>
        <v>1080.0000000000023</v>
      </c>
      <c r="Z45" s="165">
        <f>Z$76*'TABLE 4 - October 2016 Dataset'!O45</f>
        <v>239.99999999999989</v>
      </c>
      <c r="AA45" s="165">
        <f>AA$76*'TABLE 4 - October 2016 Dataset'!P45</f>
        <v>12399.999999999991</v>
      </c>
      <c r="AB45" s="162">
        <f t="shared" si="5"/>
        <v>51656.799999999996</v>
      </c>
      <c r="AC45" s="140">
        <f>AC$76*'TABLE 4 - October 2016 Dataset'!Q45</f>
        <v>47672.148837209279</v>
      </c>
      <c r="AD45" s="140">
        <f>AD$76*'TABLE 4 - October 2016 Dataset'!R45</f>
        <v>4383.68</v>
      </c>
      <c r="AE45" s="140">
        <f>AE$76*'TABLE 4 - October 2016 Dataset'!S45</f>
        <v>0</v>
      </c>
      <c r="AF45" s="140">
        <f t="shared" si="6"/>
        <v>110000</v>
      </c>
      <c r="AG45" s="140">
        <f>IF('TABLE 4 - October 2016 Dataset'!X45="No",0,"*CHECK*")</f>
        <v>0</v>
      </c>
      <c r="AH45" s="140">
        <f>'TABLE 4 - October 2016 Dataset'!Y45</f>
        <v>23640</v>
      </c>
      <c r="AI45" s="140">
        <f>IF('TABLE 4 - October 2016 Dataset'!Z45&gt;0,('TABLE 4 - October 2016 Dataset'!Z45*(1+'TABLE 1 - 2018-19 Provisional'!AI$79)*(1+AI$79))-((AI$76*SUM('TABLE 4 - October 2016 Dataset'!F45:H45))+AI$77),0)</f>
        <v>181044.910875</v>
      </c>
      <c r="AJ45" s="166" t="str">
        <f>IF('TABLE 4 - October 2016 Dataset'!AA45="Yes",'TABLE 3 - Target Illustrative'!AJ$76*SUM('TABLE 4 - October 2016 Dataset'!F45:H45),"")</f>
        <v/>
      </c>
      <c r="AK45" s="140">
        <f t="shared" si="7"/>
        <v>0</v>
      </c>
      <c r="AL45" s="94">
        <f t="shared" si="8"/>
        <v>835940.01971220924</v>
      </c>
      <c r="AM45" s="103"/>
      <c r="AN45" s="80">
        <f t="shared" si="2"/>
        <v>631255.10883720918</v>
      </c>
      <c r="AO45" s="165">
        <f>AN45/SUM('TABLE 4 - October 2016 Dataset'!F45:H45)</f>
        <v>4152.9941370869028</v>
      </c>
      <c r="AP45" s="165">
        <f t="shared" si="3"/>
        <v>0</v>
      </c>
      <c r="AQ45" s="165">
        <f>AP45*SUM('TABLE 4 - October 2016 Dataset'!F45:H45)</f>
        <v>0</v>
      </c>
      <c r="AR45" s="94">
        <f t="shared" si="9"/>
        <v>835940.01971220924</v>
      </c>
      <c r="AS45" s="103"/>
      <c r="AT45" s="80">
        <f>N45-(AF45+AG45+'TABLE 4 - October 2016 Dataset'!Y45)</f>
        <v>653389.21227171412</v>
      </c>
      <c r="AU45" s="187">
        <f t="shared" si="10"/>
        <v>702300.01971220924</v>
      </c>
      <c r="AV45" s="165">
        <f t="shared" si="11"/>
        <v>4298.6132386296986</v>
      </c>
      <c r="AW45" s="165">
        <f>AU45/SUM('TABLE 4 - October 2016 Dataset'!F45:H45)</f>
        <v>4620.3948665276921</v>
      </c>
      <c r="AX45" s="173">
        <f t="shared" si="12"/>
        <v>7.4857078326165061E-2</v>
      </c>
      <c r="AY45" s="173">
        <f t="shared" si="13"/>
        <v>0</v>
      </c>
      <c r="AZ45" s="175">
        <f t="shared" si="14"/>
        <v>0</v>
      </c>
      <c r="BA45" s="165">
        <f t="shared" si="15"/>
        <v>0</v>
      </c>
      <c r="BB45" s="94">
        <f t="shared" si="16"/>
        <v>835940.01971220924</v>
      </c>
      <c r="BC45" s="103"/>
      <c r="BD45" s="80">
        <f t="shared" si="17"/>
        <v>787029.21227171412</v>
      </c>
      <c r="BE45" s="122">
        <f t="shared" si="18"/>
        <v>5177.8237649454877</v>
      </c>
      <c r="BF45" s="264">
        <f t="shared" si="19"/>
        <v>835940.01971220924</v>
      </c>
      <c r="BG45" s="81">
        <f>BF45/SUM('TABLE 4 - October 2016 Dataset'!F45:H45)</f>
        <v>5499.6053928434822</v>
      </c>
      <c r="BH45" s="264">
        <f t="shared" si="20"/>
        <v>48910.807440495118</v>
      </c>
      <c r="BI45" s="81">
        <f t="shared" si="20"/>
        <v>321.78162789799444</v>
      </c>
      <c r="BJ45" s="269">
        <f t="shared" si="21"/>
        <v>6.2146114372701552E-2</v>
      </c>
      <c r="BK45" s="103"/>
      <c r="BL45" s="80">
        <f>'TABLE 5 - DfE Published Figures'!T44</f>
        <v>869000</v>
      </c>
      <c r="BM45" s="84">
        <f t="shared" si="22"/>
        <v>-33000</v>
      </c>
      <c r="BO45" s="103"/>
    </row>
    <row r="46" spans="2:67" ht="15.75">
      <c r="B46" s="198">
        <v>3402</v>
      </c>
      <c r="C46" s="60" t="s">
        <v>53</v>
      </c>
      <c r="D46" s="204"/>
      <c r="F46" s="80">
        <v>174</v>
      </c>
      <c r="G46" s="163"/>
      <c r="H46" s="164">
        <v>-3</v>
      </c>
      <c r="I46" s="94">
        <f t="shared" si="0"/>
        <v>171</v>
      </c>
      <c r="J46" s="103"/>
      <c r="K46" s="80">
        <v>697155.02592300856</v>
      </c>
      <c r="L46" s="163"/>
      <c r="M46" s="163"/>
      <c r="N46" s="94">
        <f t="shared" si="1"/>
        <v>697155.02592300856</v>
      </c>
      <c r="O46" s="103"/>
      <c r="P46" s="80">
        <f>P$76*'TABLE 4 - October 2016 Dataset'!F46</f>
        <v>469735.29</v>
      </c>
      <c r="Q46" s="160"/>
      <c r="R46" s="161"/>
      <c r="S46" s="162">
        <f t="shared" si="4"/>
        <v>469735.29</v>
      </c>
      <c r="T46" s="165">
        <f>T$76*'TABLE 4 - October 2016 Dataset'!I46</f>
        <v>4840.0000000000027</v>
      </c>
      <c r="U46" s="165">
        <f>U$76*'TABLE 4 - October 2016 Dataset'!J46</f>
        <v>17855.801104972375</v>
      </c>
      <c r="V46" s="165">
        <f>V$76*'TABLE 4 - October 2016 Dataset'!K46</f>
        <v>0</v>
      </c>
      <c r="W46" s="165">
        <f>W$76*'TABLE 4 - October 2016 Dataset'!L46</f>
        <v>1730.6024096385559</v>
      </c>
      <c r="X46" s="165">
        <f>X$76*'TABLE 4 - October 2016 Dataset'!M46</f>
        <v>4820.9638554216845</v>
      </c>
      <c r="Y46" s="165">
        <f>Y$76*'TABLE 4 - October 2016 Dataset'!N46</f>
        <v>370.84337349397595</v>
      </c>
      <c r="Z46" s="165">
        <f>Z$76*'TABLE 4 - October 2016 Dataset'!O46</f>
        <v>1977.8313253012068</v>
      </c>
      <c r="AA46" s="165">
        <f>AA$76*'TABLE 4 - October 2016 Dataset'!P46</f>
        <v>2678.3132530120483</v>
      </c>
      <c r="AB46" s="162">
        <f t="shared" si="5"/>
        <v>34274.355321839845</v>
      </c>
      <c r="AC46" s="140">
        <f>AC$76*'TABLE 4 - October 2016 Dataset'!Q46</f>
        <v>62916.556291390792</v>
      </c>
      <c r="AD46" s="140">
        <f>AD$76*'TABLE 4 - October 2016 Dataset'!R46</f>
        <v>19245.993377483454</v>
      </c>
      <c r="AE46" s="140">
        <f>AE$76*'TABLE 4 - October 2016 Dataset'!S46</f>
        <v>4905.8999999999451</v>
      </c>
      <c r="AF46" s="140">
        <f t="shared" si="6"/>
        <v>110000</v>
      </c>
      <c r="AG46" s="140">
        <f>IF('TABLE 4 - October 2016 Dataset'!X46="No",0,"*CHECK*")</f>
        <v>0</v>
      </c>
      <c r="AH46" s="140">
        <f>'TABLE 4 - October 2016 Dataset'!Y46</f>
        <v>2871.58</v>
      </c>
      <c r="AI46" s="170">
        <f>IF('TABLE 4 - October 2016 Dataset'!Z46&gt;0,('TABLE 4 - October 2016 Dataset'!Z46*(1+'TABLE 1 - 2018-19 Provisional'!AI$79)*(1+AI$79))-((AI$76*SUM('TABLE 4 - October 2016 Dataset'!F46:H46))+AI$77),0)</f>
        <v>0</v>
      </c>
      <c r="AJ46" s="166" t="str">
        <f>IF('TABLE 4 - October 2016 Dataset'!AA46="Yes",'TABLE 3 - Target Illustrative'!AJ$76*SUM('TABLE 4 - October 2016 Dataset'!F46:H46),"")</f>
        <v/>
      </c>
      <c r="AK46" s="140">
        <f t="shared" si="7"/>
        <v>0</v>
      </c>
      <c r="AL46" s="94">
        <f t="shared" si="8"/>
        <v>703949.67499071395</v>
      </c>
      <c r="AM46" s="103"/>
      <c r="AN46" s="80">
        <f t="shared" si="2"/>
        <v>701078.09499071399</v>
      </c>
      <c r="AO46" s="165">
        <f>AN46/SUM('TABLE 4 - October 2016 Dataset'!F46:H46)</f>
        <v>4099.8719005304911</v>
      </c>
      <c r="AP46" s="165">
        <f t="shared" si="3"/>
        <v>0</v>
      </c>
      <c r="AQ46" s="165">
        <f>AP46*SUM('TABLE 4 - October 2016 Dataset'!F46:H46)</f>
        <v>0</v>
      </c>
      <c r="AR46" s="94">
        <f t="shared" si="9"/>
        <v>703949.67499071395</v>
      </c>
      <c r="AS46" s="103"/>
      <c r="AT46" s="80">
        <f>N46-(AF46+AG46+'TABLE 4 - October 2016 Dataset'!Y46)</f>
        <v>584283.44592300861</v>
      </c>
      <c r="AU46" s="187">
        <f t="shared" si="10"/>
        <v>591078.09499071399</v>
      </c>
      <c r="AV46" s="165">
        <f t="shared" si="11"/>
        <v>3416.8622568596993</v>
      </c>
      <c r="AW46" s="165">
        <f>AU46/SUM('TABLE 4 - October 2016 Dataset'!F46:H46)</f>
        <v>3456.5970467293214</v>
      </c>
      <c r="AX46" s="173">
        <f t="shared" si="12"/>
        <v>1.1629028881644299E-2</v>
      </c>
      <c r="AY46" s="173">
        <f t="shared" si="13"/>
        <v>0</v>
      </c>
      <c r="AZ46" s="175">
        <f t="shared" si="14"/>
        <v>0</v>
      </c>
      <c r="BA46" s="165">
        <f t="shared" si="15"/>
        <v>0</v>
      </c>
      <c r="BB46" s="94">
        <f t="shared" si="16"/>
        <v>703949.67499071395</v>
      </c>
      <c r="BC46" s="103"/>
      <c r="BD46" s="80">
        <f t="shared" si="17"/>
        <v>697155.02592300856</v>
      </c>
      <c r="BE46" s="122">
        <f t="shared" si="18"/>
        <v>4076.929976157945</v>
      </c>
      <c r="BF46" s="264">
        <f t="shared" si="19"/>
        <v>703949.67499071395</v>
      </c>
      <c r="BG46" s="81">
        <f>BF46/SUM('TABLE 4 - October 2016 Dataset'!F46:H46)</f>
        <v>4116.6647660275667</v>
      </c>
      <c r="BH46" s="264">
        <f t="shared" si="20"/>
        <v>6794.6490677053807</v>
      </c>
      <c r="BI46" s="81">
        <f t="shared" si="20"/>
        <v>39.734789869621636</v>
      </c>
      <c r="BJ46" s="269">
        <f t="shared" si="21"/>
        <v>9.7462527200595367E-3</v>
      </c>
      <c r="BK46" s="103"/>
      <c r="BL46" s="80">
        <f>'TABLE 5 - DfE Published Figures'!T45</f>
        <v>704000</v>
      </c>
      <c r="BM46" s="84">
        <f t="shared" si="22"/>
        <v>0</v>
      </c>
      <c r="BO46" s="103"/>
    </row>
    <row r="47" spans="2:67" ht="15.75">
      <c r="B47" s="198">
        <v>3305</v>
      </c>
      <c r="C47" s="60" t="s">
        <v>67</v>
      </c>
      <c r="D47" s="204"/>
      <c r="F47" s="80">
        <v>195</v>
      </c>
      <c r="G47" s="163"/>
      <c r="H47" s="164">
        <v>-1</v>
      </c>
      <c r="I47" s="94">
        <f t="shared" si="0"/>
        <v>194</v>
      </c>
      <c r="J47" s="103"/>
      <c r="K47" s="80">
        <v>799234.35901221819</v>
      </c>
      <c r="L47" s="163"/>
      <c r="M47" s="163"/>
      <c r="N47" s="94">
        <f t="shared" si="1"/>
        <v>799234.35901221819</v>
      </c>
      <c r="O47" s="103"/>
      <c r="P47" s="80">
        <f>P$76*'TABLE 4 - October 2016 Dataset'!F47</f>
        <v>532916.05999999994</v>
      </c>
      <c r="Q47" s="160"/>
      <c r="R47" s="161"/>
      <c r="S47" s="162">
        <f t="shared" si="4"/>
        <v>532916.05999999994</v>
      </c>
      <c r="T47" s="165">
        <f>T$76*'TABLE 4 - October 2016 Dataset'!I47</f>
        <v>17160.000000000036</v>
      </c>
      <c r="U47" s="165">
        <f>U$76*'TABLE 4 - October 2016 Dataset'!J47</f>
        <v>44897.142857142855</v>
      </c>
      <c r="V47" s="165">
        <f>V$76*'TABLE 4 - October 2016 Dataset'!K47</f>
        <v>0</v>
      </c>
      <c r="W47" s="165">
        <f>W$76*'TABLE 4 - October 2016 Dataset'!L47</f>
        <v>22260.000000000015</v>
      </c>
      <c r="X47" s="165">
        <f>X$76*'TABLE 4 - October 2016 Dataset'!M47</f>
        <v>7020.0000000000027</v>
      </c>
      <c r="Y47" s="165">
        <f>Y$76*'TABLE 4 - October 2016 Dataset'!N47</f>
        <v>0</v>
      </c>
      <c r="Z47" s="165">
        <f>Z$76*'TABLE 4 - October 2016 Dataset'!O47</f>
        <v>0</v>
      </c>
      <c r="AA47" s="165">
        <f>AA$76*'TABLE 4 - October 2016 Dataset'!P47</f>
        <v>5599.9999999999818</v>
      </c>
      <c r="AB47" s="162">
        <f t="shared" si="5"/>
        <v>96937.142857142884</v>
      </c>
      <c r="AC47" s="140">
        <f>AC$76*'TABLE 4 - October 2016 Dataset'!Q47</f>
        <v>91350.789653082829</v>
      </c>
      <c r="AD47" s="140">
        <f>AD$76*'TABLE 4 - October 2016 Dataset'!R47</f>
        <v>12793.353658536598</v>
      </c>
      <c r="AE47" s="140">
        <f>AE$76*'TABLE 4 - October 2016 Dataset'!S47</f>
        <v>1137.5999999999481</v>
      </c>
      <c r="AF47" s="140">
        <f t="shared" si="6"/>
        <v>110000</v>
      </c>
      <c r="AG47" s="140">
        <f>IF('TABLE 4 - October 2016 Dataset'!X47="No",0,"*CHECK*")</f>
        <v>0</v>
      </c>
      <c r="AH47" s="140">
        <f>'TABLE 4 - October 2016 Dataset'!Y47</f>
        <v>4604.8900000000003</v>
      </c>
      <c r="AI47" s="170">
        <f>IF('TABLE 4 - October 2016 Dataset'!Z47&gt;0,('TABLE 4 - October 2016 Dataset'!Z47*(1+'TABLE 1 - 2018-19 Provisional'!AI$79)*(1+AI$79))-((AI$76*SUM('TABLE 4 - October 2016 Dataset'!F47:H47))+AI$77),0)</f>
        <v>0</v>
      </c>
      <c r="AJ47" s="166" t="str">
        <f>IF('TABLE 4 - October 2016 Dataset'!AA47="Yes",'TABLE 3 - Target Illustrative'!AJ$76*SUM('TABLE 4 - October 2016 Dataset'!F47:H47),"")</f>
        <v/>
      </c>
      <c r="AK47" s="140">
        <f t="shared" si="7"/>
        <v>0</v>
      </c>
      <c r="AL47" s="94">
        <f t="shared" si="8"/>
        <v>849739.83616876218</v>
      </c>
      <c r="AM47" s="103"/>
      <c r="AN47" s="80">
        <f t="shared" si="2"/>
        <v>845134.94616876217</v>
      </c>
      <c r="AO47" s="165">
        <f>AN47/SUM('TABLE 4 - October 2016 Dataset'!F47:H47)</f>
        <v>4356.365701900836</v>
      </c>
      <c r="AP47" s="165">
        <f t="shared" si="3"/>
        <v>0</v>
      </c>
      <c r="AQ47" s="165">
        <f>AP47*SUM('TABLE 4 - October 2016 Dataset'!F47:H47)</f>
        <v>0</v>
      </c>
      <c r="AR47" s="94">
        <f t="shared" si="9"/>
        <v>849739.83616876218</v>
      </c>
      <c r="AS47" s="103"/>
      <c r="AT47" s="80">
        <f>N47-(AF47+AG47+'TABLE 4 - October 2016 Dataset'!Y47)</f>
        <v>684629.46901221818</v>
      </c>
      <c r="AU47" s="187">
        <f t="shared" si="10"/>
        <v>735134.94616876217</v>
      </c>
      <c r="AV47" s="165">
        <f t="shared" si="11"/>
        <v>3529.0178815062791</v>
      </c>
      <c r="AW47" s="165">
        <f>AU47/SUM('TABLE 4 - October 2016 Dataset'!F47:H47)</f>
        <v>3789.3553926224854</v>
      </c>
      <c r="AX47" s="173">
        <f t="shared" si="12"/>
        <v>7.3770527624837934E-2</v>
      </c>
      <c r="AY47" s="173">
        <f t="shared" si="13"/>
        <v>0</v>
      </c>
      <c r="AZ47" s="175">
        <f t="shared" si="14"/>
        <v>0</v>
      </c>
      <c r="BA47" s="165">
        <f t="shared" si="15"/>
        <v>0</v>
      </c>
      <c r="BB47" s="94">
        <f t="shared" si="16"/>
        <v>849739.83616876218</v>
      </c>
      <c r="BC47" s="103"/>
      <c r="BD47" s="80">
        <f t="shared" si="17"/>
        <v>799234.35901221819</v>
      </c>
      <c r="BE47" s="122">
        <f t="shared" si="18"/>
        <v>4119.7647371763824</v>
      </c>
      <c r="BF47" s="264">
        <f t="shared" si="19"/>
        <v>849739.83616876218</v>
      </c>
      <c r="BG47" s="81">
        <f>BF47/SUM('TABLE 4 - October 2016 Dataset'!F47:H47)</f>
        <v>4380.1022482925882</v>
      </c>
      <c r="BH47" s="264">
        <f t="shared" si="20"/>
        <v>50505.477156543988</v>
      </c>
      <c r="BI47" s="81">
        <f t="shared" si="20"/>
        <v>260.33751111620586</v>
      </c>
      <c r="BJ47" s="269">
        <f t="shared" si="21"/>
        <v>6.3192324738095801E-2</v>
      </c>
      <c r="BK47" s="103"/>
      <c r="BL47" s="80">
        <f>'TABLE 5 - DfE Published Figures'!T46</f>
        <v>845000</v>
      </c>
      <c r="BM47" s="84">
        <f t="shared" si="22"/>
        <v>5000</v>
      </c>
      <c r="BO47" s="103"/>
    </row>
    <row r="48" spans="2:67" ht="15.75">
      <c r="B48" s="198">
        <v>3222</v>
      </c>
      <c r="C48" s="60" t="s">
        <v>54</v>
      </c>
      <c r="D48" s="204"/>
      <c r="F48" s="80">
        <v>119</v>
      </c>
      <c r="G48" s="163"/>
      <c r="H48" s="164">
        <v>0</v>
      </c>
      <c r="I48" s="94">
        <f t="shared" si="0"/>
        <v>119</v>
      </c>
      <c r="J48" s="103"/>
      <c r="K48" s="80">
        <v>469448.13846046349</v>
      </c>
      <c r="L48" s="163"/>
      <c r="M48" s="163"/>
      <c r="N48" s="94">
        <f t="shared" si="1"/>
        <v>469448.13846046349</v>
      </c>
      <c r="O48" s="103"/>
      <c r="P48" s="80">
        <f>P$76*'TABLE 4 - October 2016 Dataset'!F48</f>
        <v>326891.81</v>
      </c>
      <c r="Q48" s="160"/>
      <c r="R48" s="161"/>
      <c r="S48" s="162">
        <f t="shared" si="4"/>
        <v>326891.81</v>
      </c>
      <c r="T48" s="165">
        <f>T$76*'TABLE 4 - October 2016 Dataset'!I48</f>
        <v>439.99999999999972</v>
      </c>
      <c r="U48" s="165">
        <f>U$76*'TABLE 4 - October 2016 Dataset'!J48</f>
        <v>2894.5945945945946</v>
      </c>
      <c r="V48" s="165">
        <f>V$76*'TABLE 4 - October 2016 Dataset'!K48</f>
        <v>0</v>
      </c>
      <c r="W48" s="165">
        <f>W$76*'TABLE 4 - October 2016 Dataset'!L48</f>
        <v>0</v>
      </c>
      <c r="X48" s="165">
        <f>X$76*'TABLE 4 - October 2016 Dataset'!M48</f>
        <v>0</v>
      </c>
      <c r="Y48" s="165">
        <f>Y$76*'TABLE 4 - October 2016 Dataset'!N48</f>
        <v>0</v>
      </c>
      <c r="Z48" s="165">
        <f>Z$76*'TABLE 4 - October 2016 Dataset'!O48</f>
        <v>0</v>
      </c>
      <c r="AA48" s="165">
        <f>AA$76*'TABLE 4 - October 2016 Dataset'!P48</f>
        <v>403.38983050847503</v>
      </c>
      <c r="AB48" s="162">
        <f t="shared" si="5"/>
        <v>3737.984425103069</v>
      </c>
      <c r="AC48" s="140">
        <f>AC$76*'TABLE 4 - October 2016 Dataset'!Q48</f>
        <v>32920.1149425287</v>
      </c>
      <c r="AD48" s="140">
        <f>AD$76*'TABLE 4 - October 2016 Dataset'!R48</f>
        <v>0</v>
      </c>
      <c r="AE48" s="140">
        <f>AE$76*'TABLE 4 - October 2016 Dataset'!S48</f>
        <v>0</v>
      </c>
      <c r="AF48" s="140">
        <f t="shared" si="6"/>
        <v>110000</v>
      </c>
      <c r="AG48" s="140">
        <f>IF('TABLE 4 - October 2016 Dataset'!X48="No",0,"*CHECK*")</f>
        <v>0</v>
      </c>
      <c r="AH48" s="140">
        <f>'TABLE 4 - October 2016 Dataset'!Y48</f>
        <v>8585.51</v>
      </c>
      <c r="AI48" s="170">
        <f>IF('TABLE 4 - October 2016 Dataset'!Z48&gt;0,('TABLE 4 - October 2016 Dataset'!Z48*(1+'TABLE 1 - 2018-19 Provisional'!AI$79)*(1+AI$79))-((AI$76*SUM('TABLE 4 - October 2016 Dataset'!F48:H48))+AI$77),0)</f>
        <v>0</v>
      </c>
      <c r="AJ48" s="166" t="str">
        <f>IF('TABLE 4 - October 2016 Dataset'!AA48="Yes",'TABLE 3 - Target Illustrative'!AJ$76*SUM('TABLE 4 - October 2016 Dataset'!F48:H48),"")</f>
        <v/>
      </c>
      <c r="AK48" s="140">
        <f t="shared" si="7"/>
        <v>0</v>
      </c>
      <c r="AL48" s="94">
        <f t="shared" si="8"/>
        <v>482135.41936763178</v>
      </c>
      <c r="AM48" s="103"/>
      <c r="AN48" s="80">
        <f t="shared" si="2"/>
        <v>473549.90936763177</v>
      </c>
      <c r="AO48" s="165">
        <f>AN48/SUM('TABLE 4 - October 2016 Dataset'!F48:H48)</f>
        <v>3979.4110030893426</v>
      </c>
      <c r="AP48" s="165">
        <f t="shared" si="3"/>
        <v>0</v>
      </c>
      <c r="AQ48" s="165">
        <f>AP48*SUM('TABLE 4 - October 2016 Dataset'!F48:H48)</f>
        <v>0</v>
      </c>
      <c r="AR48" s="94">
        <f t="shared" si="9"/>
        <v>482135.41936763178</v>
      </c>
      <c r="AS48" s="103"/>
      <c r="AT48" s="80">
        <f>N48-(AF48+AG48+'TABLE 4 - October 2016 Dataset'!Y48)</f>
        <v>350862.62846046349</v>
      </c>
      <c r="AU48" s="187">
        <f t="shared" si="10"/>
        <v>363549.90936763177</v>
      </c>
      <c r="AV48" s="165">
        <f t="shared" si="11"/>
        <v>2948.4254492475925</v>
      </c>
      <c r="AW48" s="165">
        <f>AU48/SUM('TABLE 4 - October 2016 Dataset'!F48:H48)</f>
        <v>3055.0412551901832</v>
      </c>
      <c r="AX48" s="173">
        <f t="shared" si="12"/>
        <v>3.6160251557249889E-2</v>
      </c>
      <c r="AY48" s="173">
        <f t="shared" si="13"/>
        <v>0</v>
      </c>
      <c r="AZ48" s="175">
        <f t="shared" si="14"/>
        <v>0</v>
      </c>
      <c r="BA48" s="165">
        <f t="shared" si="15"/>
        <v>0</v>
      </c>
      <c r="BB48" s="94">
        <f t="shared" si="16"/>
        <v>482135.41936763178</v>
      </c>
      <c r="BC48" s="103"/>
      <c r="BD48" s="80">
        <f t="shared" si="17"/>
        <v>469448.13846046349</v>
      </c>
      <c r="BE48" s="122">
        <f t="shared" si="18"/>
        <v>3944.942340003895</v>
      </c>
      <c r="BF48" s="264">
        <f t="shared" si="19"/>
        <v>482135.41936763178</v>
      </c>
      <c r="BG48" s="81">
        <f>BF48/SUM('TABLE 4 - October 2016 Dataset'!F48:H48)</f>
        <v>4051.5581459464856</v>
      </c>
      <c r="BH48" s="264">
        <f t="shared" si="20"/>
        <v>12687.280907168286</v>
      </c>
      <c r="BI48" s="81">
        <f t="shared" si="20"/>
        <v>106.61580594259067</v>
      </c>
      <c r="BJ48" s="269">
        <f t="shared" si="21"/>
        <v>2.7025947847563573E-2</v>
      </c>
      <c r="BK48" s="103"/>
      <c r="BL48" s="80">
        <f>'TABLE 5 - DfE Published Figures'!T47</f>
        <v>482000</v>
      </c>
      <c r="BM48" s="84">
        <f t="shared" si="22"/>
        <v>0</v>
      </c>
      <c r="BO48" s="103"/>
    </row>
    <row r="49" spans="2:67" ht="15.75">
      <c r="B49" s="198">
        <v>3156</v>
      </c>
      <c r="C49" s="60" t="s">
        <v>55</v>
      </c>
      <c r="D49" s="204"/>
      <c r="F49" s="80">
        <v>304</v>
      </c>
      <c r="G49" s="108">
        <v>3</v>
      </c>
      <c r="H49" s="164">
        <v>0</v>
      </c>
      <c r="I49" s="94">
        <f t="shared" si="0"/>
        <v>307</v>
      </c>
      <c r="J49" s="103"/>
      <c r="K49" s="80">
        <v>1231351.8399002051</v>
      </c>
      <c r="L49" s="108">
        <v>9440.9354399999993</v>
      </c>
      <c r="M49" s="108">
        <v>50665.35</v>
      </c>
      <c r="N49" s="94">
        <f t="shared" si="1"/>
        <v>1291458.1253402052</v>
      </c>
      <c r="O49" s="103"/>
      <c r="P49" s="80">
        <f>P$76*'TABLE 4 - October 2016 Dataset'!F49</f>
        <v>843325.92999999993</v>
      </c>
      <c r="Q49" s="160"/>
      <c r="R49" s="161"/>
      <c r="S49" s="162">
        <f t="shared" si="4"/>
        <v>843325.92999999993</v>
      </c>
      <c r="T49" s="165">
        <f>T$76*'TABLE 4 - October 2016 Dataset'!I49</f>
        <v>3519.9999999999991</v>
      </c>
      <c r="U49" s="165">
        <f>U$76*'TABLE 4 - October 2016 Dataset'!J49</f>
        <v>17168.155339805828</v>
      </c>
      <c r="V49" s="165">
        <f>V$76*'TABLE 4 - October 2016 Dataset'!K49</f>
        <v>0</v>
      </c>
      <c r="W49" s="165">
        <f>W$76*'TABLE 4 - October 2016 Dataset'!L49</f>
        <v>0</v>
      </c>
      <c r="X49" s="165">
        <f>X$76*'TABLE 4 - October 2016 Dataset'!M49</f>
        <v>787.69736842105237</v>
      </c>
      <c r="Y49" s="165">
        <f>Y$76*'TABLE 4 - October 2016 Dataset'!N49</f>
        <v>0</v>
      </c>
      <c r="Z49" s="165">
        <f>Z$76*'TABLE 4 - October 2016 Dataset'!O49</f>
        <v>0</v>
      </c>
      <c r="AA49" s="165">
        <f>AA$76*'TABLE 4 - October 2016 Dataset'!P49</f>
        <v>605.92105263157907</v>
      </c>
      <c r="AB49" s="162">
        <f t="shared" si="5"/>
        <v>22081.773760858461</v>
      </c>
      <c r="AC49" s="140">
        <f>AC$76*'TABLE 4 - October 2016 Dataset'!Q49</f>
        <v>80901.921119592924</v>
      </c>
      <c r="AD49" s="140">
        <f>AD$76*'TABLE 4 - October 2016 Dataset'!R49</f>
        <v>28362.347328244239</v>
      </c>
      <c r="AE49" s="140">
        <f>AE$76*'TABLE 4 - October 2016 Dataset'!S49</f>
        <v>5901.3000000001075</v>
      </c>
      <c r="AF49" s="140">
        <f t="shared" si="6"/>
        <v>110000</v>
      </c>
      <c r="AG49" s="140">
        <f>IF('TABLE 4 - October 2016 Dataset'!X49="No",0,"*CHECK*")</f>
        <v>0</v>
      </c>
      <c r="AH49" s="140">
        <f>'TABLE 4 - October 2016 Dataset'!Y49</f>
        <v>39120</v>
      </c>
      <c r="AI49" s="140">
        <f>IF('TABLE 4 - October 2016 Dataset'!Z49&gt;0,('TABLE 4 - October 2016 Dataset'!Z49*(1+'TABLE 1 - 2018-19 Provisional'!AI$79)*(1+AI$79))-((AI$76*SUM('TABLE 4 - October 2016 Dataset'!F49:H49))+AI$77),0)</f>
        <v>266415.58439999993</v>
      </c>
      <c r="AJ49" s="166" t="str">
        <f>IF('TABLE 4 - October 2016 Dataset'!AA49="Yes",'TABLE 3 - Target Illustrative'!AJ$76*SUM('TABLE 4 - October 2016 Dataset'!F49:H49),"")</f>
        <v/>
      </c>
      <c r="AK49" s="140">
        <f t="shared" si="7"/>
        <v>0</v>
      </c>
      <c r="AL49" s="94">
        <f t="shared" si="8"/>
        <v>1396108.8566086958</v>
      </c>
      <c r="AM49" s="103"/>
      <c r="AN49" s="80">
        <f t="shared" si="2"/>
        <v>1090573.2722086958</v>
      </c>
      <c r="AO49" s="165">
        <f>AN49/SUM('TABLE 4 - October 2016 Dataset'!F49:H49)</f>
        <v>3552.3559355332109</v>
      </c>
      <c r="AP49" s="165">
        <f t="shared" si="3"/>
        <v>0</v>
      </c>
      <c r="AQ49" s="165">
        <f>AP49*SUM('TABLE 4 - October 2016 Dataset'!F49:H49)</f>
        <v>0</v>
      </c>
      <c r="AR49" s="94">
        <f t="shared" si="9"/>
        <v>1396108.8566086958</v>
      </c>
      <c r="AS49" s="103"/>
      <c r="AT49" s="80">
        <f>N49-(AF49+AG49+'TABLE 4 - October 2016 Dataset'!Y49)</f>
        <v>1142338.1253402052</v>
      </c>
      <c r="AU49" s="187">
        <f t="shared" si="10"/>
        <v>1246988.8566086958</v>
      </c>
      <c r="AV49" s="165">
        <f t="shared" si="11"/>
        <v>3720.9710923133716</v>
      </c>
      <c r="AW49" s="165">
        <f>AU49/SUM('TABLE 4 - October 2016 Dataset'!F49:H49)</f>
        <v>4061.8529531227878</v>
      </c>
      <c r="AX49" s="173">
        <f t="shared" si="12"/>
        <v>9.1610994106779309E-2</v>
      </c>
      <c r="AY49" s="173">
        <f t="shared" si="13"/>
        <v>0</v>
      </c>
      <c r="AZ49" s="175">
        <f t="shared" si="14"/>
        <v>0</v>
      </c>
      <c r="BA49" s="165">
        <f t="shared" si="15"/>
        <v>0</v>
      </c>
      <c r="BB49" s="94">
        <f t="shared" si="16"/>
        <v>1396108.8566086958</v>
      </c>
      <c r="BC49" s="103"/>
      <c r="BD49" s="80">
        <f t="shared" si="17"/>
        <v>1291458.1253402052</v>
      </c>
      <c r="BE49" s="122">
        <f t="shared" si="18"/>
        <v>4206.7039913361732</v>
      </c>
      <c r="BF49" s="264">
        <f t="shared" si="19"/>
        <v>1396108.8566086958</v>
      </c>
      <c r="BG49" s="81">
        <f>BF49/SUM('TABLE 4 - October 2016 Dataset'!F49:H49)</f>
        <v>4547.5858521455893</v>
      </c>
      <c r="BH49" s="264">
        <f t="shared" si="20"/>
        <v>104650.73126849066</v>
      </c>
      <c r="BI49" s="81">
        <f t="shared" si="20"/>
        <v>340.88186080941614</v>
      </c>
      <c r="BJ49" s="269">
        <f t="shared" si="21"/>
        <v>8.1033003869887696E-2</v>
      </c>
      <c r="BK49" s="103"/>
      <c r="BL49" s="80">
        <f>'TABLE 5 - DfE Published Figures'!T48</f>
        <v>1450000</v>
      </c>
      <c r="BM49" s="84">
        <f t="shared" si="22"/>
        <v>-54000</v>
      </c>
      <c r="BO49" s="103"/>
    </row>
    <row r="50" spans="2:67" ht="15.75">
      <c r="B50" s="198">
        <v>3003</v>
      </c>
      <c r="C50" s="60" t="s">
        <v>56</v>
      </c>
      <c r="D50" s="204"/>
      <c r="F50" s="80">
        <v>173</v>
      </c>
      <c r="G50" s="163"/>
      <c r="H50" s="164">
        <v>-1</v>
      </c>
      <c r="I50" s="94">
        <f t="shared" si="0"/>
        <v>172</v>
      </c>
      <c r="J50" s="103"/>
      <c r="K50" s="80">
        <v>622869.73355978576</v>
      </c>
      <c r="L50" s="163"/>
      <c r="M50" s="163"/>
      <c r="N50" s="94">
        <f t="shared" si="1"/>
        <v>622869.73355978576</v>
      </c>
      <c r="O50" s="103"/>
      <c r="P50" s="80">
        <f>P$76*'TABLE 4 - October 2016 Dataset'!F50</f>
        <v>472482.27999999997</v>
      </c>
      <c r="Q50" s="160"/>
      <c r="R50" s="161"/>
      <c r="S50" s="162">
        <f t="shared" si="4"/>
        <v>472482.27999999997</v>
      </c>
      <c r="T50" s="165">
        <f>T$76*'TABLE 4 - October 2016 Dataset'!I50</f>
        <v>4399.9999999999973</v>
      </c>
      <c r="U50" s="165">
        <f>U$76*'TABLE 4 - October 2016 Dataset'!J50</f>
        <v>10800</v>
      </c>
      <c r="V50" s="165">
        <f>V$76*'TABLE 4 - October 2016 Dataset'!K50</f>
        <v>0</v>
      </c>
      <c r="W50" s="165">
        <f>W$76*'TABLE 4 - October 2016 Dataset'!L50</f>
        <v>0</v>
      </c>
      <c r="X50" s="165">
        <f>X$76*'TABLE 4 - October 2016 Dataset'!M50</f>
        <v>784.56140350876933</v>
      </c>
      <c r="Y50" s="165">
        <f>Y$76*'TABLE 4 - October 2016 Dataset'!N50</f>
        <v>724.21052631578709</v>
      </c>
      <c r="Z50" s="165">
        <f>Z$76*'TABLE 4 - October 2016 Dataset'!O50</f>
        <v>2896.8421052631566</v>
      </c>
      <c r="AA50" s="165">
        <f>AA$76*'TABLE 4 - October 2016 Dataset'!P50</f>
        <v>804.67836257310023</v>
      </c>
      <c r="AB50" s="162">
        <f t="shared" si="5"/>
        <v>20410.292397660811</v>
      </c>
      <c r="AC50" s="140">
        <f>AC$76*'TABLE 4 - October 2016 Dataset'!Q50</f>
        <v>45026.724975704572</v>
      </c>
      <c r="AD50" s="140">
        <f>AD$76*'TABLE 4 - October 2016 Dataset'!R50</f>
        <v>6025.8503401360513</v>
      </c>
      <c r="AE50" s="140">
        <f>AE$76*'TABLE 4 - October 2016 Dataset'!S50</f>
        <v>0</v>
      </c>
      <c r="AF50" s="140">
        <f t="shared" si="6"/>
        <v>110000</v>
      </c>
      <c r="AG50" s="140">
        <f>IF('TABLE 4 - October 2016 Dataset'!X50="No",0,"*CHECK*")</f>
        <v>0</v>
      </c>
      <c r="AH50" s="140">
        <f>'TABLE 4 - October 2016 Dataset'!Y50</f>
        <v>6791.53</v>
      </c>
      <c r="AI50" s="170">
        <f>IF('TABLE 4 - October 2016 Dataset'!Z50&gt;0,('TABLE 4 - October 2016 Dataset'!Z50*(1+'TABLE 1 - 2018-19 Provisional'!AI$79)*(1+AI$79))-((AI$76*SUM('TABLE 4 - October 2016 Dataset'!F50:H50))+AI$77),0)</f>
        <v>0</v>
      </c>
      <c r="AJ50" s="166" t="str">
        <f>IF('TABLE 4 - October 2016 Dataset'!AA50="Yes",'TABLE 3 - Target Illustrative'!AJ$76*SUM('TABLE 4 - October 2016 Dataset'!F50:H50),"")</f>
        <v/>
      </c>
      <c r="AK50" s="140">
        <f t="shared" si="7"/>
        <v>0</v>
      </c>
      <c r="AL50" s="94">
        <f t="shared" si="8"/>
        <v>660736.6777135015</v>
      </c>
      <c r="AM50" s="103"/>
      <c r="AN50" s="80">
        <f t="shared" si="2"/>
        <v>653945.14771350147</v>
      </c>
      <c r="AO50" s="165">
        <f>AN50/SUM('TABLE 4 - October 2016 Dataset'!F50:H50)</f>
        <v>3802.0066727529156</v>
      </c>
      <c r="AP50" s="165">
        <f t="shared" si="3"/>
        <v>0</v>
      </c>
      <c r="AQ50" s="165">
        <f>AP50*SUM('TABLE 4 - October 2016 Dataset'!F50:H50)</f>
        <v>0</v>
      </c>
      <c r="AR50" s="94">
        <f t="shared" si="9"/>
        <v>660736.6777135015</v>
      </c>
      <c r="AS50" s="103"/>
      <c r="AT50" s="80">
        <f>N50-(AF50+AG50+'TABLE 4 - October 2016 Dataset'!Y50)</f>
        <v>506078.20355978573</v>
      </c>
      <c r="AU50" s="187">
        <f t="shared" si="10"/>
        <v>543945.14771350147</v>
      </c>
      <c r="AV50" s="165">
        <f t="shared" si="11"/>
        <v>2942.3151369754983</v>
      </c>
      <c r="AW50" s="165">
        <f>AU50/SUM('TABLE 4 - October 2016 Dataset'!F50:H50)</f>
        <v>3162.4717890319853</v>
      </c>
      <c r="AX50" s="173">
        <f t="shared" si="12"/>
        <v>7.4824293730410218E-2</v>
      </c>
      <c r="AY50" s="173">
        <f t="shared" si="13"/>
        <v>0</v>
      </c>
      <c r="AZ50" s="175">
        <f t="shared" si="14"/>
        <v>0</v>
      </c>
      <c r="BA50" s="165">
        <f t="shared" si="15"/>
        <v>0</v>
      </c>
      <c r="BB50" s="94">
        <f t="shared" si="16"/>
        <v>660736.6777135015</v>
      </c>
      <c r="BC50" s="103"/>
      <c r="BD50" s="80">
        <f t="shared" si="17"/>
        <v>622869.73355978576</v>
      </c>
      <c r="BE50" s="122">
        <f t="shared" si="18"/>
        <v>3621.3356602313124</v>
      </c>
      <c r="BF50" s="264">
        <f t="shared" si="19"/>
        <v>660736.6777135015</v>
      </c>
      <c r="BG50" s="81">
        <f>BF50/SUM('TABLE 4 - October 2016 Dataset'!F50:H50)</f>
        <v>3841.4923122877995</v>
      </c>
      <c r="BH50" s="264">
        <f t="shared" si="20"/>
        <v>37866.94415371574</v>
      </c>
      <c r="BI50" s="81">
        <f t="shared" si="20"/>
        <v>220.15665205648702</v>
      </c>
      <c r="BJ50" s="269">
        <f t="shared" si="21"/>
        <v>6.0794323617718589E-2</v>
      </c>
      <c r="BK50" s="103"/>
      <c r="BL50" s="80">
        <f>'TABLE 5 - DfE Published Figures'!T49</f>
        <v>661000</v>
      </c>
      <c r="BM50" s="84">
        <f t="shared" si="22"/>
        <v>0</v>
      </c>
      <c r="BO50" s="103"/>
    </row>
    <row r="51" spans="2:67" ht="15.75">
      <c r="B51" s="198">
        <v>3403</v>
      </c>
      <c r="C51" s="60" t="s">
        <v>68</v>
      </c>
      <c r="D51" s="204"/>
      <c r="F51" s="80">
        <v>263</v>
      </c>
      <c r="G51" s="163"/>
      <c r="H51" s="164">
        <v>0</v>
      </c>
      <c r="I51" s="94">
        <f t="shared" si="0"/>
        <v>263</v>
      </c>
      <c r="J51" s="103"/>
      <c r="K51" s="80">
        <v>925773.69680843712</v>
      </c>
      <c r="L51" s="163"/>
      <c r="M51" s="163"/>
      <c r="N51" s="94">
        <f t="shared" si="1"/>
        <v>925773.69680843712</v>
      </c>
      <c r="O51" s="103"/>
      <c r="P51" s="80">
        <f>P$76*'TABLE 4 - October 2016 Dataset'!F51</f>
        <v>722458.37</v>
      </c>
      <c r="Q51" s="160"/>
      <c r="R51" s="161"/>
      <c r="S51" s="162">
        <f t="shared" si="4"/>
        <v>722458.37</v>
      </c>
      <c r="T51" s="165">
        <f>T$76*'TABLE 4 - October 2016 Dataset'!I51</f>
        <v>4839.9999999999973</v>
      </c>
      <c r="U51" s="165">
        <f>U$76*'TABLE 4 - October 2016 Dataset'!J51</f>
        <v>15425.393258426966</v>
      </c>
      <c r="V51" s="165">
        <f>V$76*'TABLE 4 - October 2016 Dataset'!K51</f>
        <v>0</v>
      </c>
      <c r="W51" s="165">
        <f>W$76*'TABLE 4 - October 2016 Dataset'!L51</f>
        <v>2149.0272373540815</v>
      </c>
      <c r="X51" s="165">
        <f>X$76*'TABLE 4 - October 2016 Dataset'!M51</f>
        <v>1197.31517509728</v>
      </c>
      <c r="Y51" s="165">
        <f>Y$76*'TABLE 4 - October 2016 Dataset'!N51</f>
        <v>8104.9027237354067</v>
      </c>
      <c r="Z51" s="165">
        <f>Z$76*'TABLE 4 - October 2016 Dataset'!O51</f>
        <v>491.20622568093427</v>
      </c>
      <c r="AA51" s="165">
        <f>AA$76*'TABLE 4 - October 2016 Dataset'!P51</f>
        <v>10233.463035019435</v>
      </c>
      <c r="AB51" s="162">
        <f t="shared" si="5"/>
        <v>42441.3076553141</v>
      </c>
      <c r="AC51" s="140">
        <f>AC$76*'TABLE 4 - October 2016 Dataset'!Q51</f>
        <v>102001.45708298848</v>
      </c>
      <c r="AD51" s="140">
        <f>AD$76*'TABLE 4 - October 2016 Dataset'!R51</f>
        <v>32047.254464285732</v>
      </c>
      <c r="AE51" s="140">
        <f>AE$76*'TABLE 4 - October 2016 Dataset'!S51</f>
        <v>0</v>
      </c>
      <c r="AF51" s="140">
        <f t="shared" si="6"/>
        <v>110000</v>
      </c>
      <c r="AG51" s="140">
        <f>IF('TABLE 4 - October 2016 Dataset'!X51="No",0,"*CHECK*")</f>
        <v>0</v>
      </c>
      <c r="AH51" s="140">
        <f>'TABLE 4 - October 2016 Dataset'!Y51</f>
        <v>3672</v>
      </c>
      <c r="AI51" s="170">
        <f>IF('TABLE 4 - October 2016 Dataset'!Z51&gt;0,('TABLE 4 - October 2016 Dataset'!Z51*(1+'TABLE 1 - 2018-19 Provisional'!AI$79)*(1+AI$79))-((AI$76*SUM('TABLE 4 - October 2016 Dataset'!F51:H51))+AI$77),0)</f>
        <v>0</v>
      </c>
      <c r="AJ51" s="166" t="str">
        <f>IF('TABLE 4 - October 2016 Dataset'!AA51="Yes",'TABLE 3 - Target Illustrative'!AJ$76*SUM('TABLE 4 - October 2016 Dataset'!F51:H51),"")</f>
        <v/>
      </c>
      <c r="AK51" s="140">
        <f t="shared" si="7"/>
        <v>0</v>
      </c>
      <c r="AL51" s="94">
        <f t="shared" si="8"/>
        <v>1012620.3892025882</v>
      </c>
      <c r="AM51" s="103"/>
      <c r="AN51" s="80">
        <f t="shared" si="2"/>
        <v>1008948.3892025882</v>
      </c>
      <c r="AO51" s="165">
        <f>AN51/SUM('TABLE 4 - October 2016 Dataset'!F51:H51)</f>
        <v>3836.3056623672555</v>
      </c>
      <c r="AP51" s="165">
        <f t="shared" si="3"/>
        <v>0</v>
      </c>
      <c r="AQ51" s="165">
        <f>AP51*SUM('TABLE 4 - October 2016 Dataset'!F51:H51)</f>
        <v>0</v>
      </c>
      <c r="AR51" s="94">
        <f t="shared" si="9"/>
        <v>1012620.3892025882</v>
      </c>
      <c r="AS51" s="103"/>
      <c r="AT51" s="80">
        <f>N51-(AF51+AG51+'TABLE 4 - October 2016 Dataset'!Y51)</f>
        <v>812101.69680843712</v>
      </c>
      <c r="AU51" s="187">
        <f t="shared" si="10"/>
        <v>898948.38920258824</v>
      </c>
      <c r="AV51" s="165">
        <f t="shared" si="11"/>
        <v>3087.839151362879</v>
      </c>
      <c r="AW51" s="165">
        <f>AU51/SUM('TABLE 4 - October 2016 Dataset'!F51:H51)</f>
        <v>3418.0547117969136</v>
      </c>
      <c r="AX51" s="173">
        <f t="shared" si="12"/>
        <v>0.10694066117021905</v>
      </c>
      <c r="AY51" s="173">
        <f t="shared" si="13"/>
        <v>0</v>
      </c>
      <c r="AZ51" s="175">
        <f t="shared" si="14"/>
        <v>0</v>
      </c>
      <c r="BA51" s="165">
        <f t="shared" si="15"/>
        <v>0</v>
      </c>
      <c r="BB51" s="94">
        <f t="shared" si="16"/>
        <v>1012620.3892025882</v>
      </c>
      <c r="BC51" s="103"/>
      <c r="BD51" s="80">
        <f t="shared" si="17"/>
        <v>925773.69680843712</v>
      </c>
      <c r="BE51" s="122">
        <f t="shared" si="18"/>
        <v>3520.0520791195327</v>
      </c>
      <c r="BF51" s="264">
        <f t="shared" si="19"/>
        <v>1012620.3892025882</v>
      </c>
      <c r="BG51" s="81">
        <f>BF51/SUM('TABLE 4 - October 2016 Dataset'!F51:H51)</f>
        <v>3850.2676395535673</v>
      </c>
      <c r="BH51" s="264">
        <f t="shared" si="20"/>
        <v>86846.69239415112</v>
      </c>
      <c r="BI51" s="81">
        <f t="shared" si="20"/>
        <v>330.21556043403461</v>
      </c>
      <c r="BJ51" s="269">
        <f t="shared" si="21"/>
        <v>9.3809850823750068E-2</v>
      </c>
      <c r="BK51" s="103"/>
      <c r="BL51" s="80">
        <f>'TABLE 5 - DfE Published Figures'!T50</f>
        <v>1013000</v>
      </c>
      <c r="BM51" s="84">
        <f t="shared" si="22"/>
        <v>0</v>
      </c>
      <c r="BO51" s="103"/>
    </row>
    <row r="52" spans="2:67" ht="15.75">
      <c r="B52" s="198">
        <v>2227</v>
      </c>
      <c r="C52" s="60" t="s">
        <v>57</v>
      </c>
      <c r="D52" s="204"/>
      <c r="F52" s="80">
        <v>92</v>
      </c>
      <c r="G52" s="163"/>
      <c r="H52" s="164">
        <v>0</v>
      </c>
      <c r="I52" s="94">
        <f t="shared" si="0"/>
        <v>92</v>
      </c>
      <c r="J52" s="103"/>
      <c r="K52" s="80">
        <v>422169.52478015906</v>
      </c>
      <c r="L52" s="163"/>
      <c r="M52" s="163"/>
      <c r="N52" s="94">
        <f t="shared" si="1"/>
        <v>422169.52478015906</v>
      </c>
      <c r="O52" s="103"/>
      <c r="P52" s="80">
        <f>P$76*'TABLE 4 - October 2016 Dataset'!F52</f>
        <v>252723.08</v>
      </c>
      <c r="Q52" s="160"/>
      <c r="R52" s="161"/>
      <c r="S52" s="162">
        <f t="shared" si="4"/>
        <v>252723.08</v>
      </c>
      <c r="T52" s="165">
        <f>T$76*'TABLE 4 - October 2016 Dataset'!I52</f>
        <v>1759.9999999999993</v>
      </c>
      <c r="U52" s="165">
        <f>U$76*'TABLE 4 - October 2016 Dataset'!J52</f>
        <v>7728</v>
      </c>
      <c r="V52" s="165">
        <f>V$76*'TABLE 4 - October 2016 Dataset'!K52</f>
        <v>0</v>
      </c>
      <c r="W52" s="165">
        <f>W$76*'TABLE 4 - October 2016 Dataset'!L52</f>
        <v>419.99999999999989</v>
      </c>
      <c r="X52" s="165">
        <f>X$76*'TABLE 4 - October 2016 Dataset'!M52</f>
        <v>0</v>
      </c>
      <c r="Y52" s="165">
        <f>Y$76*'TABLE 4 - October 2016 Dataset'!N52</f>
        <v>719.99999999999977</v>
      </c>
      <c r="Z52" s="165">
        <f>Z$76*'TABLE 4 - October 2016 Dataset'!O52</f>
        <v>0</v>
      </c>
      <c r="AA52" s="165">
        <f>AA$76*'TABLE 4 - October 2016 Dataset'!P52</f>
        <v>1199.9999999999995</v>
      </c>
      <c r="AB52" s="162">
        <f t="shared" si="5"/>
        <v>11828</v>
      </c>
      <c r="AC52" s="140">
        <f>AC$76*'TABLE 4 - October 2016 Dataset'!Q52</f>
        <v>40764.473684210549</v>
      </c>
      <c r="AD52" s="140">
        <f>AD$76*'TABLE 4 - October 2016 Dataset'!R52</f>
        <v>0</v>
      </c>
      <c r="AE52" s="140">
        <f>AE$76*'TABLE 4 - October 2016 Dataset'!S52</f>
        <v>0</v>
      </c>
      <c r="AF52" s="140">
        <f t="shared" si="6"/>
        <v>110000</v>
      </c>
      <c r="AG52" s="140">
        <f>IF('TABLE 4 - October 2016 Dataset'!X52="No",0,"*CHECK*")</f>
        <v>0</v>
      </c>
      <c r="AH52" s="140">
        <f>'TABLE 4 - October 2016 Dataset'!Y52</f>
        <v>6681.4</v>
      </c>
      <c r="AI52" s="170">
        <f>IF('TABLE 4 - October 2016 Dataset'!Z52&gt;0,('TABLE 4 - October 2016 Dataset'!Z52*(1+'TABLE 1 - 2018-19 Provisional'!AI$79)*(1+AI$79))-((AI$76*SUM('TABLE 4 - October 2016 Dataset'!F52:H52))+AI$77),0)</f>
        <v>0</v>
      </c>
      <c r="AJ52" s="166" t="str">
        <f>IF('TABLE 4 - October 2016 Dataset'!AA52="Yes",'TABLE 3 - Target Illustrative'!AJ$76*SUM('TABLE 4 - October 2016 Dataset'!F52:H52),"")</f>
        <v/>
      </c>
      <c r="AK52" s="140">
        <f t="shared" si="7"/>
        <v>0</v>
      </c>
      <c r="AL52" s="94">
        <f t="shared" si="8"/>
        <v>421996.95368421054</v>
      </c>
      <c r="AM52" s="103"/>
      <c r="AN52" s="80">
        <f t="shared" si="2"/>
        <v>415315.55368421052</v>
      </c>
      <c r="AO52" s="165">
        <f>AN52/SUM('TABLE 4 - October 2016 Dataset'!F52:H52)</f>
        <v>4514.2994965675052</v>
      </c>
      <c r="AP52" s="165">
        <f t="shared" si="3"/>
        <v>0</v>
      </c>
      <c r="AQ52" s="165">
        <f>AP52*SUM('TABLE 4 - October 2016 Dataset'!F52:H52)</f>
        <v>0</v>
      </c>
      <c r="AR52" s="94">
        <f t="shared" si="9"/>
        <v>421996.95368421054</v>
      </c>
      <c r="AS52" s="103"/>
      <c r="AT52" s="80">
        <f>N52-(AF52+AG52+'TABLE 4 - October 2016 Dataset'!Y52)</f>
        <v>305488.12478015909</v>
      </c>
      <c r="AU52" s="187">
        <f t="shared" si="10"/>
        <v>305315.55368421052</v>
      </c>
      <c r="AV52" s="165">
        <f t="shared" si="11"/>
        <v>3320.523095436512</v>
      </c>
      <c r="AW52" s="165">
        <f>AU52/SUM('TABLE 4 - October 2016 Dataset'!F52:H52)</f>
        <v>3318.6473226544622</v>
      </c>
      <c r="AX52" s="173">
        <f t="shared" si="12"/>
        <v>-5.6490279637799734E-4</v>
      </c>
      <c r="AY52" s="173">
        <f t="shared" si="13"/>
        <v>1.0564902796377998E-2</v>
      </c>
      <c r="AZ52" s="175">
        <f t="shared" si="14"/>
        <v>35.081003736414928</v>
      </c>
      <c r="BA52" s="165">
        <f t="shared" si="15"/>
        <v>3227.4523437501734</v>
      </c>
      <c r="BB52" s="94">
        <f t="shared" si="16"/>
        <v>425224.40602796071</v>
      </c>
      <c r="BC52" s="103"/>
      <c r="BD52" s="80">
        <f t="shared" si="17"/>
        <v>422169.52478015906</v>
      </c>
      <c r="BE52" s="122">
        <f t="shared" si="18"/>
        <v>4588.7991823930333</v>
      </c>
      <c r="BF52" s="264">
        <f t="shared" si="19"/>
        <v>425224.40602796071</v>
      </c>
      <c r="BG52" s="81">
        <f>BF52/SUM('TABLE 4 - October 2016 Dataset'!F52:H52)</f>
        <v>4622.0044133473993</v>
      </c>
      <c r="BH52" s="264">
        <f t="shared" si="20"/>
        <v>3054.881247801648</v>
      </c>
      <c r="BI52" s="81">
        <f t="shared" si="20"/>
        <v>33.205230954366016</v>
      </c>
      <c r="BJ52" s="269">
        <f t="shared" si="21"/>
        <v>7.2361482022949789E-3</v>
      </c>
      <c r="BK52" s="103"/>
      <c r="BL52" s="80">
        <f>'TABLE 5 - DfE Published Figures'!T51</f>
        <v>425000</v>
      </c>
      <c r="BM52" s="84">
        <f t="shared" si="22"/>
        <v>0</v>
      </c>
      <c r="BO52" s="103"/>
    </row>
    <row r="53" spans="2:67" ht="15.75">
      <c r="B53" s="198">
        <v>2429</v>
      </c>
      <c r="C53" s="60" t="s">
        <v>58</v>
      </c>
      <c r="D53" s="204" t="s">
        <v>70</v>
      </c>
      <c r="F53" s="80">
        <v>191</v>
      </c>
      <c r="G53" s="163"/>
      <c r="H53" s="164">
        <v>0</v>
      </c>
      <c r="I53" s="94">
        <f t="shared" si="0"/>
        <v>191</v>
      </c>
      <c r="J53" s="103"/>
      <c r="K53" s="80">
        <v>861033.06835219671</v>
      </c>
      <c r="L53" s="163"/>
      <c r="M53" s="163"/>
      <c r="N53" s="94">
        <f t="shared" si="1"/>
        <v>861033.06835219671</v>
      </c>
      <c r="O53" s="103"/>
      <c r="P53" s="80">
        <f>P$76*'TABLE 4 - October 2016 Dataset'!F53</f>
        <v>524675.09</v>
      </c>
      <c r="Q53" s="160"/>
      <c r="R53" s="161"/>
      <c r="S53" s="162">
        <f t="shared" si="4"/>
        <v>524675.09</v>
      </c>
      <c r="T53" s="165">
        <f>T$76*'TABLE 4 - October 2016 Dataset'!I53</f>
        <v>18479.999999999985</v>
      </c>
      <c r="U53" s="165">
        <f>U$76*'TABLE 4 - October 2016 Dataset'!J53</f>
        <v>52214.625</v>
      </c>
      <c r="V53" s="165">
        <f>V$76*'TABLE 4 - October 2016 Dataset'!K53</f>
        <v>0</v>
      </c>
      <c r="W53" s="165">
        <f>W$76*'TABLE 4 - October 2016 Dataset'!L53</f>
        <v>17219.999999999971</v>
      </c>
      <c r="X53" s="165">
        <f>X$76*'TABLE 4 - October 2016 Dataset'!M53</f>
        <v>3119.9999999999995</v>
      </c>
      <c r="Y53" s="165">
        <f>Y$76*'TABLE 4 - October 2016 Dataset'!N53</f>
        <v>2520.0000000000027</v>
      </c>
      <c r="Z53" s="165">
        <f>Z$76*'TABLE 4 - October 2016 Dataset'!O53</f>
        <v>0</v>
      </c>
      <c r="AA53" s="165">
        <f>AA$76*'TABLE 4 - October 2016 Dataset'!P53</f>
        <v>21999.999999999993</v>
      </c>
      <c r="AB53" s="162">
        <f t="shared" si="5"/>
        <v>115554.62499999994</v>
      </c>
      <c r="AC53" s="140">
        <f>AC$76*'TABLE 4 - October 2016 Dataset'!Q53</f>
        <v>79807.703902802197</v>
      </c>
      <c r="AD53" s="140">
        <f>AD$76*'TABLE 4 - October 2016 Dataset'!R53</f>
        <v>11277.515923566838</v>
      </c>
      <c r="AE53" s="140">
        <f>AE$76*'TABLE 4 - October 2016 Dataset'!S53</f>
        <v>14859.900000000067</v>
      </c>
      <c r="AF53" s="140">
        <f t="shared" si="6"/>
        <v>110000</v>
      </c>
      <c r="AG53" s="140">
        <f>IF('TABLE 4 - October 2016 Dataset'!X53="No",0,"*CHECK*")</f>
        <v>0</v>
      </c>
      <c r="AH53" s="140">
        <f>'TABLE 4 - October 2016 Dataset'!Y53</f>
        <v>13758.08</v>
      </c>
      <c r="AI53" s="170">
        <f>IF('TABLE 4 - October 2016 Dataset'!Z53&gt;0,('TABLE 4 - October 2016 Dataset'!Z53*(1+'TABLE 1 - 2018-19 Provisional'!AI$79)*(1+AI$79))-((AI$76*SUM('TABLE 4 - October 2016 Dataset'!F53:H53))+AI$77),0)</f>
        <v>0</v>
      </c>
      <c r="AJ53" s="166" t="str">
        <f>IF('TABLE 4 - October 2016 Dataset'!AA53="Yes",'TABLE 3 - Target Illustrative'!AJ$76*SUM('TABLE 4 - October 2016 Dataset'!F53:H53),"")</f>
        <v/>
      </c>
      <c r="AK53" s="140">
        <f t="shared" si="7"/>
        <v>0</v>
      </c>
      <c r="AL53" s="94">
        <f t="shared" si="8"/>
        <v>869932.91482636891</v>
      </c>
      <c r="AM53" s="103"/>
      <c r="AN53" s="80">
        <f t="shared" si="2"/>
        <v>856174.83482636895</v>
      </c>
      <c r="AO53" s="165">
        <f>AN53/SUM('TABLE 4 - October 2016 Dataset'!F53:H53)</f>
        <v>4482.5907582532409</v>
      </c>
      <c r="AP53" s="165">
        <f t="shared" si="3"/>
        <v>0</v>
      </c>
      <c r="AQ53" s="165">
        <f>AP53*SUM('TABLE 4 - October 2016 Dataset'!F53:H53)</f>
        <v>0</v>
      </c>
      <c r="AR53" s="94">
        <f t="shared" si="9"/>
        <v>869932.91482636891</v>
      </c>
      <c r="AS53" s="103"/>
      <c r="AT53" s="80">
        <f>N53-(AF53+AG53+'TABLE 4 - October 2016 Dataset'!Y53)</f>
        <v>737274.98835219676</v>
      </c>
      <c r="AU53" s="187">
        <f t="shared" si="10"/>
        <v>746174.83482636895</v>
      </c>
      <c r="AV53" s="165">
        <f t="shared" si="11"/>
        <v>3860.0784730481505</v>
      </c>
      <c r="AW53" s="165">
        <f>AU53/SUM('TABLE 4 - October 2016 Dataset'!F53:H53)</f>
        <v>3906.6745278867484</v>
      </c>
      <c r="AX53" s="173">
        <f t="shared" si="12"/>
        <v>1.2071271390968086E-2</v>
      </c>
      <c r="AY53" s="173">
        <f t="shared" si="13"/>
        <v>0</v>
      </c>
      <c r="AZ53" s="175">
        <f t="shared" si="14"/>
        <v>0</v>
      </c>
      <c r="BA53" s="165">
        <f t="shared" si="15"/>
        <v>0</v>
      </c>
      <c r="BB53" s="94">
        <f t="shared" si="16"/>
        <v>869932.91482636891</v>
      </c>
      <c r="BC53" s="103"/>
      <c r="BD53" s="80">
        <f t="shared" si="17"/>
        <v>861033.06835219671</v>
      </c>
      <c r="BE53" s="122">
        <f t="shared" si="18"/>
        <v>4508.0265358753759</v>
      </c>
      <c r="BF53" s="264">
        <f t="shared" si="19"/>
        <v>869932.91482636891</v>
      </c>
      <c r="BG53" s="81">
        <f>BF53/SUM('TABLE 4 - October 2016 Dataset'!F53:H53)</f>
        <v>4554.6225907139733</v>
      </c>
      <c r="BH53" s="264">
        <f t="shared" si="20"/>
        <v>8899.8464741721982</v>
      </c>
      <c r="BI53" s="81">
        <f t="shared" si="20"/>
        <v>46.596054838597411</v>
      </c>
      <c r="BJ53" s="269">
        <f t="shared" si="21"/>
        <v>1.0336242359662445E-2</v>
      </c>
      <c r="BK53" s="103"/>
      <c r="BL53" s="80">
        <f>'TABLE 5 - DfE Published Figures'!T52</f>
        <v>870000</v>
      </c>
      <c r="BM53" s="84">
        <f t="shared" si="22"/>
        <v>0</v>
      </c>
      <c r="BO53" s="103"/>
    </row>
    <row r="54" spans="2:67" ht="15.75">
      <c r="B54" s="198">
        <v>2017</v>
      </c>
      <c r="C54" s="60" t="s">
        <v>59</v>
      </c>
      <c r="D54" s="204"/>
      <c r="F54" s="80">
        <v>526</v>
      </c>
      <c r="G54" s="163"/>
      <c r="H54" s="164">
        <v>-2</v>
      </c>
      <c r="I54" s="94">
        <f t="shared" si="0"/>
        <v>524</v>
      </c>
      <c r="J54" s="103"/>
      <c r="K54" s="80">
        <v>1857807.6391980168</v>
      </c>
      <c r="L54" s="163"/>
      <c r="M54" s="163"/>
      <c r="N54" s="94">
        <f t="shared" si="1"/>
        <v>1857807.6391980168</v>
      </c>
      <c r="O54" s="103"/>
      <c r="P54" s="80">
        <f>P$76*'TABLE 4 - October 2016 Dataset'!F54</f>
        <v>1439422.7599999998</v>
      </c>
      <c r="Q54" s="160"/>
      <c r="R54" s="161"/>
      <c r="S54" s="162">
        <f t="shared" si="4"/>
        <v>1439422.7599999998</v>
      </c>
      <c r="T54" s="165">
        <f>T$76*'TABLE 4 - October 2016 Dataset'!I54</f>
        <v>32560.000000000113</v>
      </c>
      <c r="U54" s="165">
        <f>U$76*'TABLE 4 - October 2016 Dataset'!J54</f>
        <v>108391.93548387097</v>
      </c>
      <c r="V54" s="165">
        <f>V$76*'TABLE 4 - October 2016 Dataset'!K54</f>
        <v>0</v>
      </c>
      <c r="W54" s="165">
        <f>W$76*'TABLE 4 - October 2016 Dataset'!L54</f>
        <v>0</v>
      </c>
      <c r="X54" s="165">
        <f>X$76*'TABLE 4 - October 2016 Dataset'!M54</f>
        <v>17617.241379310337</v>
      </c>
      <c r="Y54" s="165">
        <f>Y$76*'TABLE 4 - October 2016 Dataset'!N54</f>
        <v>63964.137931034486</v>
      </c>
      <c r="Z54" s="165">
        <f>Z$76*'TABLE 4 - October 2016 Dataset'!O54</f>
        <v>0</v>
      </c>
      <c r="AA54" s="165">
        <f>AA$76*'TABLE 4 - October 2016 Dataset'!P54</f>
        <v>15057.471264367792</v>
      </c>
      <c r="AB54" s="162">
        <f t="shared" si="5"/>
        <v>237590.7860585837</v>
      </c>
      <c r="AC54" s="140">
        <f>AC$76*'TABLE 4 - October 2016 Dataset'!Q54</f>
        <v>219662.30431030245</v>
      </c>
      <c r="AD54" s="140">
        <f>AD$76*'TABLE 4 - October 2016 Dataset'!R54</f>
        <v>6839.7695852534653</v>
      </c>
      <c r="AE54" s="140">
        <f>AE$76*'TABLE 4 - October 2016 Dataset'!S54</f>
        <v>0</v>
      </c>
      <c r="AF54" s="140">
        <f t="shared" si="6"/>
        <v>110000</v>
      </c>
      <c r="AG54" s="140">
        <f>IF('TABLE 4 - October 2016 Dataset'!X54="No",0,"*CHECK*")</f>
        <v>0</v>
      </c>
      <c r="AH54" s="140">
        <f>'TABLE 4 - October 2016 Dataset'!Y54</f>
        <v>38374.050000000003</v>
      </c>
      <c r="AI54" s="170">
        <f>IF('TABLE 4 - October 2016 Dataset'!Z54&gt;0,('TABLE 4 - October 2016 Dataset'!Z54*(1+'TABLE 1 - 2018-19 Provisional'!AI$79)*(1+AI$79))-((AI$76*SUM('TABLE 4 - October 2016 Dataset'!F54:H54))+AI$77),0)</f>
        <v>0</v>
      </c>
      <c r="AJ54" s="166" t="str">
        <f>IF('TABLE 4 - October 2016 Dataset'!AA54="Yes",'TABLE 3 - Target Illustrative'!AJ$76*SUM('TABLE 4 - October 2016 Dataset'!F54:H54),"")</f>
        <v/>
      </c>
      <c r="AK54" s="140">
        <f t="shared" si="7"/>
        <v>0</v>
      </c>
      <c r="AL54" s="94">
        <f t="shared" si="8"/>
        <v>2051889.6699541395</v>
      </c>
      <c r="AM54" s="103"/>
      <c r="AN54" s="80">
        <f t="shared" si="2"/>
        <v>2013515.6199541395</v>
      </c>
      <c r="AO54" s="165">
        <f>AN54/SUM('TABLE 4 - October 2016 Dataset'!F54:H54)</f>
        <v>3842.5870609811823</v>
      </c>
      <c r="AP54" s="165">
        <f t="shared" si="3"/>
        <v>0</v>
      </c>
      <c r="AQ54" s="165">
        <f>AP54*SUM('TABLE 4 - October 2016 Dataset'!F54:H54)</f>
        <v>0</v>
      </c>
      <c r="AR54" s="94">
        <f t="shared" si="9"/>
        <v>2051889.6699541395</v>
      </c>
      <c r="AS54" s="103"/>
      <c r="AT54" s="80">
        <f>N54-(AF54+AG54+'TABLE 4 - October 2016 Dataset'!Y54)</f>
        <v>1709433.5891980168</v>
      </c>
      <c r="AU54" s="187">
        <f t="shared" si="10"/>
        <v>1903515.6199541395</v>
      </c>
      <c r="AV54" s="165">
        <f t="shared" si="11"/>
        <v>3262.2778419809479</v>
      </c>
      <c r="AW54" s="165">
        <f>AU54/SUM('TABLE 4 - October 2016 Dataset'!F54:H54)</f>
        <v>3632.663396859045</v>
      </c>
      <c r="AX54" s="173">
        <f t="shared" si="12"/>
        <v>0.1135358705845817</v>
      </c>
      <c r="AY54" s="173">
        <f t="shared" si="13"/>
        <v>0</v>
      </c>
      <c r="AZ54" s="175">
        <f t="shared" si="14"/>
        <v>0</v>
      </c>
      <c r="BA54" s="165">
        <f t="shared" si="15"/>
        <v>0</v>
      </c>
      <c r="BB54" s="94">
        <f t="shared" si="16"/>
        <v>2051889.6699541395</v>
      </c>
      <c r="BC54" s="103"/>
      <c r="BD54" s="80">
        <f t="shared" si="17"/>
        <v>1857807.6391980168</v>
      </c>
      <c r="BE54" s="122">
        <f t="shared" si="18"/>
        <v>3545.4344259504137</v>
      </c>
      <c r="BF54" s="264">
        <f t="shared" si="19"/>
        <v>2051889.6699541395</v>
      </c>
      <c r="BG54" s="81">
        <f>BF54/SUM('TABLE 4 - October 2016 Dataset'!F54:H54)</f>
        <v>3915.8199808285103</v>
      </c>
      <c r="BH54" s="264">
        <f t="shared" si="20"/>
        <v>194082.03075612267</v>
      </c>
      <c r="BI54" s="81">
        <f t="shared" si="20"/>
        <v>370.38555487809663</v>
      </c>
      <c r="BJ54" s="269">
        <f t="shared" si="21"/>
        <v>0.10446831343631705</v>
      </c>
      <c r="BK54" s="103"/>
      <c r="BL54" s="80">
        <f>'TABLE 5 - DfE Published Figures'!T53</f>
        <v>2052000</v>
      </c>
      <c r="BM54" s="84">
        <f t="shared" si="22"/>
        <v>0</v>
      </c>
      <c r="BO54" s="103"/>
    </row>
    <row r="55" spans="2:67" ht="15.75">
      <c r="B55" s="198">
        <v>3380</v>
      </c>
      <c r="C55" s="60" t="s">
        <v>60</v>
      </c>
      <c r="D55" s="204"/>
      <c r="F55" s="80">
        <v>226</v>
      </c>
      <c r="G55" s="163"/>
      <c r="H55" s="164">
        <v>0</v>
      </c>
      <c r="I55" s="94">
        <f t="shared" si="0"/>
        <v>226</v>
      </c>
      <c r="J55" s="103"/>
      <c r="K55" s="80">
        <v>721489.62072683324</v>
      </c>
      <c r="L55" s="163"/>
      <c r="M55" s="163"/>
      <c r="N55" s="94">
        <f t="shared" si="1"/>
        <v>721489.62072683324</v>
      </c>
      <c r="O55" s="103"/>
      <c r="P55" s="80">
        <f>P$76*'TABLE 4 - October 2016 Dataset'!F55</f>
        <v>620819.74</v>
      </c>
      <c r="Q55" s="160"/>
      <c r="R55" s="161"/>
      <c r="S55" s="162">
        <f t="shared" si="4"/>
        <v>620819.74</v>
      </c>
      <c r="T55" s="165">
        <f>T$76*'TABLE 4 - October 2016 Dataset'!I55</f>
        <v>879.99999999999966</v>
      </c>
      <c r="U55" s="165">
        <f>U$76*'TABLE 4 - October 2016 Dataset'!J55</f>
        <v>5472.6457399103138</v>
      </c>
      <c r="V55" s="165">
        <f>V$76*'TABLE 4 - October 2016 Dataset'!K55</f>
        <v>0</v>
      </c>
      <c r="W55" s="165">
        <f>W$76*'TABLE 4 - October 2016 Dataset'!L55</f>
        <v>0</v>
      </c>
      <c r="X55" s="165">
        <f>X$76*'TABLE 4 - October 2016 Dataset'!M55</f>
        <v>0</v>
      </c>
      <c r="Y55" s="165">
        <f>Y$76*'TABLE 4 - October 2016 Dataset'!N55</f>
        <v>0</v>
      </c>
      <c r="Z55" s="165">
        <f>Z$76*'TABLE 4 - October 2016 Dataset'!O55</f>
        <v>0</v>
      </c>
      <c r="AA55" s="165">
        <f>AA$76*'TABLE 4 - October 2016 Dataset'!P55</f>
        <v>0</v>
      </c>
      <c r="AB55" s="162">
        <f t="shared" si="5"/>
        <v>6352.6457399103138</v>
      </c>
      <c r="AC55" s="140">
        <f>AC$76*'TABLE 4 - October 2016 Dataset'!Q55</f>
        <v>34292.560279187819</v>
      </c>
      <c r="AD55" s="140">
        <f>AD$76*'TABLE 4 - October 2016 Dataset'!R55</f>
        <v>0</v>
      </c>
      <c r="AE55" s="140">
        <f>AE$76*'TABLE 4 - October 2016 Dataset'!S55</f>
        <v>0</v>
      </c>
      <c r="AF55" s="140">
        <f t="shared" si="6"/>
        <v>110000</v>
      </c>
      <c r="AG55" s="140">
        <f>IF('TABLE 4 - October 2016 Dataset'!X55="No",0,"*CHECK*")</f>
        <v>0</v>
      </c>
      <c r="AH55" s="140">
        <f>'TABLE 4 - October 2016 Dataset'!Y55</f>
        <v>4248</v>
      </c>
      <c r="AI55" s="170">
        <f>IF('TABLE 4 - October 2016 Dataset'!Z55&gt;0,('TABLE 4 - October 2016 Dataset'!Z55*(1+'TABLE 1 - 2018-19 Provisional'!AI$79)*(1+AI$79))-((AI$76*SUM('TABLE 4 - October 2016 Dataset'!F55:H55))+AI$77),0)</f>
        <v>0</v>
      </c>
      <c r="AJ55" s="166" t="str">
        <f>IF('TABLE 4 - October 2016 Dataset'!AA55="Yes",'TABLE 3 - Target Illustrative'!AJ$76*SUM('TABLE 4 - October 2016 Dataset'!F55:H55),"")</f>
        <v/>
      </c>
      <c r="AK55" s="140">
        <f t="shared" si="7"/>
        <v>0</v>
      </c>
      <c r="AL55" s="94">
        <f t="shared" si="8"/>
        <v>775712.94601909816</v>
      </c>
      <c r="AM55" s="103"/>
      <c r="AN55" s="80">
        <f t="shared" si="2"/>
        <v>771464.94601909816</v>
      </c>
      <c r="AO55" s="165">
        <f>AN55/SUM('TABLE 4 - October 2016 Dataset'!F55:H55)</f>
        <v>3413.561708049107</v>
      </c>
      <c r="AP55" s="165">
        <f t="shared" si="3"/>
        <v>86.438291950893017</v>
      </c>
      <c r="AQ55" s="165">
        <f>AP55*SUM('TABLE 4 - October 2016 Dataset'!F55:H55)</f>
        <v>19535.053980901823</v>
      </c>
      <c r="AR55" s="94">
        <f t="shared" si="9"/>
        <v>795248</v>
      </c>
      <c r="AS55" s="103"/>
      <c r="AT55" s="80">
        <f>N55-(AF55+AG55+'TABLE 4 - October 2016 Dataset'!Y55)</f>
        <v>607241.62072683324</v>
      </c>
      <c r="AU55" s="187">
        <f t="shared" si="10"/>
        <v>681000</v>
      </c>
      <c r="AV55" s="165">
        <f t="shared" si="11"/>
        <v>2686.9098262249258</v>
      </c>
      <c r="AW55" s="165">
        <f>AU55/SUM('TABLE 4 - October 2016 Dataset'!F55:H55)</f>
        <v>3013.2743362831857</v>
      </c>
      <c r="AX55" s="173">
        <f t="shared" si="12"/>
        <v>0.12146463080854408</v>
      </c>
      <c r="AY55" s="173">
        <f t="shared" si="13"/>
        <v>0</v>
      </c>
      <c r="AZ55" s="175">
        <f t="shared" si="14"/>
        <v>0</v>
      </c>
      <c r="BA55" s="165">
        <f t="shared" si="15"/>
        <v>0</v>
      </c>
      <c r="BB55" s="94">
        <f t="shared" si="16"/>
        <v>795248</v>
      </c>
      <c r="BC55" s="103"/>
      <c r="BD55" s="80">
        <f t="shared" si="17"/>
        <v>721489.62072683324</v>
      </c>
      <c r="BE55" s="122">
        <f t="shared" si="18"/>
        <v>3192.431950118731</v>
      </c>
      <c r="BF55" s="264">
        <f t="shared" si="19"/>
        <v>795248</v>
      </c>
      <c r="BG55" s="81">
        <f>BF55/SUM('TABLE 4 - October 2016 Dataset'!F55:H55)</f>
        <v>3518.7964601769913</v>
      </c>
      <c r="BH55" s="264">
        <f t="shared" si="20"/>
        <v>73758.379273166764</v>
      </c>
      <c r="BI55" s="81">
        <f t="shared" si="20"/>
        <v>326.36451005826029</v>
      </c>
      <c r="BJ55" s="269">
        <f t="shared" si="21"/>
        <v>0.10223068656048324</v>
      </c>
      <c r="BK55" s="103"/>
      <c r="BL55" s="80">
        <f>'TABLE 5 - DfE Published Figures'!T54</f>
        <v>795000</v>
      </c>
      <c r="BM55" s="84">
        <f t="shared" si="22"/>
        <v>0</v>
      </c>
      <c r="BO55" s="103"/>
    </row>
    <row r="56" spans="2:67" ht="15.75">
      <c r="B56" s="198">
        <v>2240</v>
      </c>
      <c r="C56" s="60" t="s">
        <v>61</v>
      </c>
      <c r="D56" s="204"/>
      <c r="F56" s="80">
        <v>272</v>
      </c>
      <c r="G56" s="163"/>
      <c r="H56" s="164">
        <v>-1</v>
      </c>
      <c r="I56" s="94">
        <f t="shared" si="0"/>
        <v>271</v>
      </c>
      <c r="J56" s="103"/>
      <c r="K56" s="80">
        <v>858323.07933024038</v>
      </c>
      <c r="L56" s="163"/>
      <c r="M56" s="163"/>
      <c r="N56" s="94">
        <f t="shared" si="1"/>
        <v>858323.07933024038</v>
      </c>
      <c r="O56" s="103"/>
      <c r="P56" s="80">
        <f>P$76*'TABLE 4 - October 2016 Dataset'!F56</f>
        <v>744434.28999999992</v>
      </c>
      <c r="Q56" s="160"/>
      <c r="R56" s="161"/>
      <c r="S56" s="162">
        <f t="shared" si="4"/>
        <v>744434.28999999992</v>
      </c>
      <c r="T56" s="165">
        <f>T$76*'TABLE 4 - October 2016 Dataset'!I56</f>
        <v>1759.9999999999982</v>
      </c>
      <c r="U56" s="165">
        <f>U$76*'TABLE 4 - October 2016 Dataset'!J56</f>
        <v>10037.761732851986</v>
      </c>
      <c r="V56" s="165">
        <f>V$76*'TABLE 4 - October 2016 Dataset'!K56</f>
        <v>0</v>
      </c>
      <c r="W56" s="165">
        <f>W$76*'TABLE 4 - October 2016 Dataset'!L56</f>
        <v>429.50943396226444</v>
      </c>
      <c r="X56" s="165">
        <f>X$76*'TABLE 4 - October 2016 Dataset'!M56</f>
        <v>0</v>
      </c>
      <c r="Y56" s="165">
        <f>Y$76*'TABLE 4 - October 2016 Dataset'!N56</f>
        <v>368.15094339622664</v>
      </c>
      <c r="Z56" s="165">
        <f>Z$76*'TABLE 4 - October 2016 Dataset'!O56</f>
        <v>981.73584905660312</v>
      </c>
      <c r="AA56" s="165">
        <f>AA$76*'TABLE 4 - October 2016 Dataset'!P56</f>
        <v>409.05660377358464</v>
      </c>
      <c r="AB56" s="162">
        <f t="shared" si="5"/>
        <v>13986.214563040665</v>
      </c>
      <c r="AC56" s="140">
        <f>AC$76*'TABLE 4 - October 2016 Dataset'!Q56</f>
        <v>51237.035436473649</v>
      </c>
      <c r="AD56" s="140">
        <f>AD$76*'TABLE 4 - October 2016 Dataset'!R56</f>
        <v>0</v>
      </c>
      <c r="AE56" s="140">
        <f>AE$76*'TABLE 4 - October 2016 Dataset'!S56</f>
        <v>0</v>
      </c>
      <c r="AF56" s="140">
        <f t="shared" si="6"/>
        <v>110000</v>
      </c>
      <c r="AG56" s="140">
        <f>IF('TABLE 4 - October 2016 Dataset'!X56="No",0,"*CHECK*")</f>
        <v>0</v>
      </c>
      <c r="AH56" s="140">
        <f>'TABLE 4 - October 2016 Dataset'!Y56</f>
        <v>12936.34</v>
      </c>
      <c r="AI56" s="170">
        <f>IF('TABLE 4 - October 2016 Dataset'!Z56&gt;0,('TABLE 4 - October 2016 Dataset'!Z56*(1+'TABLE 1 - 2018-19 Provisional'!AI$79)*(1+AI$79))-((AI$76*SUM('TABLE 4 - October 2016 Dataset'!F56:H56))+AI$77),0)</f>
        <v>0</v>
      </c>
      <c r="AJ56" s="166" t="str">
        <f>IF('TABLE 4 - October 2016 Dataset'!AA56="Yes",'TABLE 3 - Target Illustrative'!AJ$76*SUM('TABLE 4 - October 2016 Dataset'!F56:H56),"")</f>
        <v/>
      </c>
      <c r="AK56" s="140">
        <f t="shared" si="7"/>
        <v>0</v>
      </c>
      <c r="AL56" s="94">
        <f t="shared" si="8"/>
        <v>932593.8799995142</v>
      </c>
      <c r="AM56" s="103"/>
      <c r="AN56" s="80">
        <f t="shared" si="2"/>
        <v>919657.53999951424</v>
      </c>
      <c r="AO56" s="165">
        <f>AN56/SUM('TABLE 4 - October 2016 Dataset'!F56:H56)</f>
        <v>3393.5702583007906</v>
      </c>
      <c r="AP56" s="165">
        <f t="shared" si="3"/>
        <v>106.42974169920944</v>
      </c>
      <c r="AQ56" s="165">
        <f>AP56*SUM('TABLE 4 - October 2016 Dataset'!F56:H56)</f>
        <v>28842.46000048576</v>
      </c>
      <c r="AR56" s="94">
        <f t="shared" si="9"/>
        <v>961436.34</v>
      </c>
      <c r="AS56" s="103"/>
      <c r="AT56" s="80">
        <f>N56-(AF56+AG56+'TABLE 4 - October 2016 Dataset'!Y56)</f>
        <v>735386.73933024041</v>
      </c>
      <c r="AU56" s="187">
        <f t="shared" si="10"/>
        <v>838500</v>
      </c>
      <c r="AV56" s="165">
        <f t="shared" si="11"/>
        <v>2713.6042041706287</v>
      </c>
      <c r="AW56" s="165">
        <f>AU56/SUM('TABLE 4 - October 2016 Dataset'!F56:H56)</f>
        <v>3094.0959409594097</v>
      </c>
      <c r="AX56" s="173">
        <f t="shared" si="12"/>
        <v>0.14021637208697957</v>
      </c>
      <c r="AY56" s="173">
        <f t="shared" si="13"/>
        <v>0</v>
      </c>
      <c r="AZ56" s="175">
        <f t="shared" si="14"/>
        <v>0</v>
      </c>
      <c r="BA56" s="165">
        <f t="shared" si="15"/>
        <v>0</v>
      </c>
      <c r="BB56" s="94">
        <f t="shared" si="16"/>
        <v>961436.34</v>
      </c>
      <c r="BC56" s="103"/>
      <c r="BD56" s="80">
        <f t="shared" si="17"/>
        <v>858323.07933024038</v>
      </c>
      <c r="BE56" s="122">
        <f t="shared" si="18"/>
        <v>3167.2438351669389</v>
      </c>
      <c r="BF56" s="264">
        <f t="shared" si="19"/>
        <v>961436.34</v>
      </c>
      <c r="BG56" s="81">
        <f>BF56/SUM('TABLE 4 - October 2016 Dataset'!F56:H56)</f>
        <v>3547.7355719557195</v>
      </c>
      <c r="BH56" s="264">
        <f t="shared" si="20"/>
        <v>103113.26066975959</v>
      </c>
      <c r="BI56" s="81">
        <f t="shared" si="20"/>
        <v>380.4917367887806</v>
      </c>
      <c r="BJ56" s="269">
        <f t="shared" si="21"/>
        <v>0.12013338934124902</v>
      </c>
      <c r="BK56" s="103"/>
      <c r="BL56" s="80">
        <f>'TABLE 5 - DfE Published Figures'!T55</f>
        <v>961000</v>
      </c>
      <c r="BM56" s="84">
        <f t="shared" si="22"/>
        <v>0</v>
      </c>
      <c r="BO56" s="103"/>
    </row>
    <row r="57" spans="2:67" ht="15.75">
      <c r="B57" s="198">
        <v>2027</v>
      </c>
      <c r="C57" s="60" t="s">
        <v>62</v>
      </c>
      <c r="D57" s="204" t="s">
        <v>73</v>
      </c>
      <c r="F57" s="80">
        <v>392</v>
      </c>
      <c r="G57" s="163"/>
      <c r="H57" s="164">
        <v>-1</v>
      </c>
      <c r="I57" s="94">
        <f t="shared" si="0"/>
        <v>391</v>
      </c>
      <c r="J57" s="103"/>
      <c r="K57" s="80">
        <v>1331287.0435244814</v>
      </c>
      <c r="L57" s="163"/>
      <c r="M57" s="163"/>
      <c r="N57" s="94">
        <f t="shared" si="1"/>
        <v>1331287.0435244814</v>
      </c>
      <c r="O57" s="103"/>
      <c r="P57" s="80">
        <f>P$76*'TABLE 4 - October 2016 Dataset'!F57</f>
        <v>1074073.0899999999</v>
      </c>
      <c r="Q57" s="160"/>
      <c r="R57" s="161"/>
      <c r="S57" s="162">
        <f t="shared" si="4"/>
        <v>1074073.0899999999</v>
      </c>
      <c r="T57" s="165">
        <f>T$76*'TABLE 4 - October 2016 Dataset'!I57</f>
        <v>19799.999999999971</v>
      </c>
      <c r="U57" s="165">
        <f>U$76*'TABLE 4 - October 2016 Dataset'!J57</f>
        <v>60163.54838709678</v>
      </c>
      <c r="V57" s="165">
        <f>V$76*'TABLE 4 - October 2016 Dataset'!K57</f>
        <v>0</v>
      </c>
      <c r="W57" s="165">
        <f>W$76*'TABLE 4 - October 2016 Dataset'!L57</f>
        <v>0</v>
      </c>
      <c r="X57" s="165">
        <f>X$76*'TABLE 4 - October 2016 Dataset'!M57</f>
        <v>37425.744125326397</v>
      </c>
      <c r="Y57" s="165">
        <f>Y$76*'TABLE 4 - October 2016 Dataset'!N57</f>
        <v>7350.3916449086209</v>
      </c>
      <c r="Z57" s="165">
        <f>Z$76*'TABLE 4 - October 2016 Dataset'!O57</f>
        <v>0</v>
      </c>
      <c r="AA57" s="165">
        <f>AA$76*'TABLE 4 - October 2016 Dataset'!P57</f>
        <v>7554.569190600525</v>
      </c>
      <c r="AB57" s="162">
        <f t="shared" si="5"/>
        <v>132294.2533479323</v>
      </c>
      <c r="AC57" s="140">
        <f>AC$76*'TABLE 4 - October 2016 Dataset'!Q57</f>
        <v>143139.71808054947</v>
      </c>
      <c r="AD57" s="140">
        <f>AD$76*'TABLE 4 - October 2016 Dataset'!R57</f>
        <v>4271.3787878787853</v>
      </c>
      <c r="AE57" s="140">
        <f>AE$76*'TABLE 4 - October 2016 Dataset'!S57</f>
        <v>0</v>
      </c>
      <c r="AF57" s="140">
        <f t="shared" si="6"/>
        <v>110000</v>
      </c>
      <c r="AG57" s="140">
        <f>IF('TABLE 4 - October 2016 Dataset'!X57="No",0,"*CHECK*")</f>
        <v>0</v>
      </c>
      <c r="AH57" s="140">
        <f>'TABLE 4 - October 2016 Dataset'!Y57</f>
        <v>24735.41</v>
      </c>
      <c r="AI57" s="170">
        <f>IF('TABLE 4 - October 2016 Dataset'!Z57&gt;0,('TABLE 4 - October 2016 Dataset'!Z57*(1+'TABLE 1 - 2018-19 Provisional'!AI$79)*(1+AI$79))-((AI$76*SUM('TABLE 4 - October 2016 Dataset'!F57:H57))+AI$77),0)</f>
        <v>0</v>
      </c>
      <c r="AJ57" s="166" t="str">
        <f>IF('TABLE 4 - October 2016 Dataset'!AA57="Yes",'TABLE 3 - Target Illustrative'!AJ$76*SUM('TABLE 4 - October 2016 Dataset'!F57:H57),"")</f>
        <v/>
      </c>
      <c r="AK57" s="140">
        <f t="shared" si="7"/>
        <v>0</v>
      </c>
      <c r="AL57" s="94">
        <f t="shared" si="8"/>
        <v>1488513.8502163605</v>
      </c>
      <c r="AM57" s="103"/>
      <c r="AN57" s="80">
        <f t="shared" si="2"/>
        <v>1463778.4402163606</v>
      </c>
      <c r="AO57" s="165">
        <f>AN57/SUM('TABLE 4 - October 2016 Dataset'!F57:H57)</f>
        <v>3743.6788752336588</v>
      </c>
      <c r="AP57" s="165">
        <f t="shared" si="3"/>
        <v>0</v>
      </c>
      <c r="AQ57" s="165">
        <f>AP57*SUM('TABLE 4 - October 2016 Dataset'!F57:H57)</f>
        <v>0</v>
      </c>
      <c r="AR57" s="94">
        <f t="shared" si="9"/>
        <v>1488513.8502163605</v>
      </c>
      <c r="AS57" s="103"/>
      <c r="AT57" s="80">
        <f>N57-(AF57+AG57+'TABLE 4 - October 2016 Dataset'!Y57)</f>
        <v>1196551.6335244814</v>
      </c>
      <c r="AU57" s="187">
        <f t="shared" si="10"/>
        <v>1353778.4402163606</v>
      </c>
      <c r="AV57" s="165">
        <f t="shared" si="11"/>
        <v>3060.2343568401061</v>
      </c>
      <c r="AW57" s="165">
        <f>AU57/SUM('TABLE 4 - October 2016 Dataset'!F57:H57)</f>
        <v>3462.3489519600016</v>
      </c>
      <c r="AX57" s="173">
        <f t="shared" si="12"/>
        <v>0.13139993485175605</v>
      </c>
      <c r="AY57" s="173">
        <f t="shared" si="13"/>
        <v>0</v>
      </c>
      <c r="AZ57" s="175">
        <f t="shared" si="14"/>
        <v>0</v>
      </c>
      <c r="BA57" s="165">
        <f t="shared" si="15"/>
        <v>0</v>
      </c>
      <c r="BB57" s="94">
        <f t="shared" si="16"/>
        <v>1488513.8502163605</v>
      </c>
      <c r="BC57" s="103"/>
      <c r="BD57" s="80">
        <f t="shared" si="17"/>
        <v>1331287.0435244814</v>
      </c>
      <c r="BE57" s="122">
        <f t="shared" si="18"/>
        <v>3404.8261982723307</v>
      </c>
      <c r="BF57" s="264">
        <f t="shared" si="19"/>
        <v>1488513.8502163605</v>
      </c>
      <c r="BG57" s="81">
        <f>BF57/SUM('TABLE 4 - October 2016 Dataset'!F57:H57)</f>
        <v>3806.9407933922266</v>
      </c>
      <c r="BH57" s="264">
        <f t="shared" si="20"/>
        <v>157226.80669187917</v>
      </c>
      <c r="BI57" s="81">
        <f t="shared" si="20"/>
        <v>402.11459511989597</v>
      </c>
      <c r="BJ57" s="269">
        <f t="shared" si="21"/>
        <v>0.11810135722168023</v>
      </c>
      <c r="BK57" s="103"/>
      <c r="BL57" s="80">
        <f>'TABLE 5 - DfE Published Figures'!T56</f>
        <v>1489000</v>
      </c>
      <c r="BM57" s="84">
        <f t="shared" si="22"/>
        <v>0</v>
      </c>
      <c r="BO57" s="103"/>
    </row>
    <row r="58" spans="2:67" ht="15.75">
      <c r="B58" s="198">
        <v>2015</v>
      </c>
      <c r="C58" s="60" t="s">
        <v>63</v>
      </c>
      <c r="D58" s="204"/>
      <c r="F58" s="80">
        <v>367</v>
      </c>
      <c r="G58" s="163"/>
      <c r="H58" s="164">
        <v>0</v>
      </c>
      <c r="I58" s="94">
        <f t="shared" si="0"/>
        <v>367</v>
      </c>
      <c r="J58" s="103"/>
      <c r="K58" s="80">
        <v>1293727.8776638319</v>
      </c>
      <c r="L58" s="163"/>
      <c r="M58" s="163"/>
      <c r="N58" s="94">
        <f t="shared" si="1"/>
        <v>1293727.8776638319</v>
      </c>
      <c r="O58" s="103"/>
      <c r="P58" s="80">
        <f>P$76*'TABLE 4 - October 2016 Dataset'!F58</f>
        <v>1008145.33</v>
      </c>
      <c r="Q58" s="160"/>
      <c r="R58" s="161"/>
      <c r="S58" s="162">
        <f t="shared" si="4"/>
        <v>1008145.33</v>
      </c>
      <c r="T58" s="165">
        <f>T$76*'TABLE 4 - October 2016 Dataset'!I58</f>
        <v>24200.000000000055</v>
      </c>
      <c r="U58" s="165">
        <f>U$76*'TABLE 4 - October 2016 Dataset'!J58</f>
        <v>61643.197674418603</v>
      </c>
      <c r="V58" s="165">
        <f>V$76*'TABLE 4 - October 2016 Dataset'!K58</f>
        <v>0</v>
      </c>
      <c r="W58" s="165">
        <f>W$76*'TABLE 4 - October 2016 Dataset'!L58</f>
        <v>0</v>
      </c>
      <c r="X58" s="165">
        <f>X$76*'TABLE 4 - October 2016 Dataset'!M58</f>
        <v>391.06557377049177</v>
      </c>
      <c r="Y58" s="165">
        <f>Y$76*'TABLE 4 - October 2016 Dataset'!N58</f>
        <v>35376.393442622946</v>
      </c>
      <c r="Z58" s="165">
        <f>Z$76*'TABLE 4 - October 2016 Dataset'!O58</f>
        <v>240.65573770491801</v>
      </c>
      <c r="AA58" s="165">
        <f>AA$76*'TABLE 4 - October 2016 Dataset'!P58</f>
        <v>15642.622950819698</v>
      </c>
      <c r="AB58" s="162">
        <f t="shared" si="5"/>
        <v>137493.9353793367</v>
      </c>
      <c r="AC58" s="140">
        <f>AC$76*'TABLE 4 - October 2016 Dataset'!Q58</f>
        <v>145152.44315943267</v>
      </c>
      <c r="AD58" s="140">
        <f>AD$76*'TABLE 4 - October 2016 Dataset'!R58</f>
        <v>13844.315286624204</v>
      </c>
      <c r="AE58" s="140">
        <f>AE$76*'TABLE 4 - October 2016 Dataset'!S58</f>
        <v>924.29999999998108</v>
      </c>
      <c r="AF58" s="140">
        <f t="shared" si="6"/>
        <v>110000</v>
      </c>
      <c r="AG58" s="140">
        <f>IF('TABLE 4 - October 2016 Dataset'!X58="No",0,"*CHECK*")</f>
        <v>0</v>
      </c>
      <c r="AH58" s="140">
        <f>'TABLE 4 - October 2016 Dataset'!Y58</f>
        <v>18622.64</v>
      </c>
      <c r="AI58" s="170">
        <f>IF('TABLE 4 - October 2016 Dataset'!Z58&gt;0,('TABLE 4 - October 2016 Dataset'!Z58*(1+'TABLE 1 - 2018-19 Provisional'!AI$79)*(1+AI$79))-((AI$76*SUM('TABLE 4 - October 2016 Dataset'!F58:H58))+AI$77),0)</f>
        <v>0</v>
      </c>
      <c r="AJ58" s="166" t="str">
        <f>IF('TABLE 4 - October 2016 Dataset'!AA58="Yes",'TABLE 3 - Target Illustrative'!AJ$76*SUM('TABLE 4 - October 2016 Dataset'!F58:H58),"")</f>
        <v/>
      </c>
      <c r="AK58" s="140">
        <f t="shared" si="7"/>
        <v>0</v>
      </c>
      <c r="AL58" s="94">
        <f t="shared" si="8"/>
        <v>1434182.9638253935</v>
      </c>
      <c r="AM58" s="103"/>
      <c r="AN58" s="80">
        <f t="shared" si="2"/>
        <v>1415560.3238253936</v>
      </c>
      <c r="AO58" s="165">
        <f>AN58/SUM('TABLE 4 - October 2016 Dataset'!F58:H58)</f>
        <v>3857.112598979274</v>
      </c>
      <c r="AP58" s="165">
        <f t="shared" si="3"/>
        <v>0</v>
      </c>
      <c r="AQ58" s="165">
        <f>AP58*SUM('TABLE 4 - October 2016 Dataset'!F58:H58)</f>
        <v>0</v>
      </c>
      <c r="AR58" s="94">
        <f t="shared" si="9"/>
        <v>1434182.9638253935</v>
      </c>
      <c r="AS58" s="103"/>
      <c r="AT58" s="80">
        <f>N58-(AF58+AG58+'TABLE 4 - October 2016 Dataset'!Y58)</f>
        <v>1165105.237663832</v>
      </c>
      <c r="AU58" s="187">
        <f t="shared" si="10"/>
        <v>1305560.3238253936</v>
      </c>
      <c r="AV58" s="165">
        <f t="shared" si="11"/>
        <v>3174.673672108534</v>
      </c>
      <c r="AW58" s="165">
        <f>AU58/SUM('TABLE 4 - October 2016 Dataset'!F58:H58)</f>
        <v>3557.3850785433069</v>
      </c>
      <c r="AX58" s="173">
        <f t="shared" si="12"/>
        <v>0.12055141597611385</v>
      </c>
      <c r="AY58" s="173">
        <f t="shared" si="13"/>
        <v>0</v>
      </c>
      <c r="AZ58" s="175">
        <f t="shared" si="14"/>
        <v>0</v>
      </c>
      <c r="BA58" s="165">
        <f t="shared" si="15"/>
        <v>0</v>
      </c>
      <c r="BB58" s="94">
        <f t="shared" si="16"/>
        <v>1434182.9638253935</v>
      </c>
      <c r="BC58" s="103"/>
      <c r="BD58" s="80">
        <f t="shared" si="17"/>
        <v>1293727.8776638319</v>
      </c>
      <c r="BE58" s="122">
        <f t="shared" si="18"/>
        <v>3525.1440808278799</v>
      </c>
      <c r="BF58" s="264">
        <f t="shared" si="19"/>
        <v>1434182.9638253935</v>
      </c>
      <c r="BG58" s="81">
        <f>BF58/SUM('TABLE 4 - October 2016 Dataset'!F58:H58)</f>
        <v>3907.8554872626523</v>
      </c>
      <c r="BH58" s="264">
        <f t="shared" si="20"/>
        <v>140455.08616156154</v>
      </c>
      <c r="BI58" s="81">
        <f t="shared" si="20"/>
        <v>382.71140643477247</v>
      </c>
      <c r="BJ58" s="269">
        <f t="shared" si="21"/>
        <v>0.10856617422142154</v>
      </c>
      <c r="BK58" s="103"/>
      <c r="BL58" s="80">
        <f>'TABLE 5 - DfE Published Figures'!T57</f>
        <v>1434000</v>
      </c>
      <c r="BM58" s="84">
        <f t="shared" si="22"/>
        <v>0</v>
      </c>
      <c r="BO58" s="103"/>
    </row>
    <row r="59" spans="2:67" ht="5.0999999999999996" customHeight="1">
      <c r="B59" s="198"/>
      <c r="C59" s="60"/>
      <c r="D59" s="204"/>
      <c r="F59" s="80"/>
      <c r="G59" s="108"/>
      <c r="H59" s="108"/>
      <c r="I59" s="94"/>
      <c r="J59" s="103"/>
      <c r="K59" s="80"/>
      <c r="L59" s="108"/>
      <c r="M59" s="108"/>
      <c r="N59" s="94"/>
      <c r="O59" s="103"/>
      <c r="P59" s="80"/>
      <c r="Q59" s="81"/>
      <c r="R59" s="122"/>
      <c r="S59" s="129"/>
      <c r="T59" s="81"/>
      <c r="U59" s="81"/>
      <c r="V59" s="81"/>
      <c r="W59" s="81"/>
      <c r="X59" s="81"/>
      <c r="Y59" s="81"/>
      <c r="Z59" s="108"/>
      <c r="AA59" s="108"/>
      <c r="AB59" s="129"/>
      <c r="AC59" s="140"/>
      <c r="AD59" s="140"/>
      <c r="AE59" s="140"/>
      <c r="AF59" s="140"/>
      <c r="AG59" s="140"/>
      <c r="AH59" s="140"/>
      <c r="AI59" s="140"/>
      <c r="AJ59" s="140"/>
      <c r="AK59" s="140"/>
      <c r="AL59" s="94"/>
      <c r="AM59" s="103"/>
      <c r="AN59" s="80"/>
      <c r="AO59" s="108"/>
      <c r="AP59" s="108"/>
      <c r="AQ59" s="108"/>
      <c r="AR59" s="94"/>
      <c r="AS59" s="103"/>
      <c r="AT59" s="80"/>
      <c r="AU59" s="108"/>
      <c r="AV59" s="108"/>
      <c r="AW59" s="108"/>
      <c r="AX59" s="108"/>
      <c r="AY59" s="108"/>
      <c r="AZ59" s="108"/>
      <c r="BA59" s="108"/>
      <c r="BB59" s="94"/>
      <c r="BC59" s="103"/>
      <c r="BD59" s="188"/>
      <c r="BE59" s="261"/>
      <c r="BF59" s="265"/>
      <c r="BG59" s="212"/>
      <c r="BH59" s="265"/>
      <c r="BI59" s="212"/>
      <c r="BJ59" s="84"/>
      <c r="BK59" s="103"/>
      <c r="BL59" s="188"/>
      <c r="BM59" s="84"/>
    </row>
    <row r="60" spans="2:67" s="104" customFormat="1" ht="15.75">
      <c r="B60" s="205"/>
      <c r="C60" s="85" t="s">
        <v>167</v>
      </c>
      <c r="D60" s="206"/>
      <c r="E60" s="86"/>
      <c r="F60" s="87">
        <f>SUM(F8:F59)</f>
        <v>13737</v>
      </c>
      <c r="G60" s="109">
        <f>SUM(G8:G59)</f>
        <v>13</v>
      </c>
      <c r="H60" s="109">
        <f>SUM(H8:H59)</f>
        <v>-28</v>
      </c>
      <c r="I60" s="89">
        <f>SUM(I8:I59)</f>
        <v>13722</v>
      </c>
      <c r="J60" s="103"/>
      <c r="K60" s="87">
        <f>SUM(K8:K59)</f>
        <v>48114894.574794494</v>
      </c>
      <c r="L60" s="109">
        <f>SUM(L8:L59)</f>
        <v>46866.80025</v>
      </c>
      <c r="M60" s="109">
        <f>SUM(M8:M59)</f>
        <v>88413.836666667019</v>
      </c>
      <c r="N60" s="89">
        <f>SUM(N8:N59)</f>
        <v>48250175.211711168</v>
      </c>
      <c r="O60" s="103"/>
      <c r="P60" s="87">
        <f>SUM(P8:P59)</f>
        <v>37694196.780000001</v>
      </c>
      <c r="Q60" s="88">
        <f t="shared" ref="Q60:AK60" si="23">SUM(Q8:Q59)</f>
        <v>0</v>
      </c>
      <c r="R60" s="123">
        <f t="shared" si="23"/>
        <v>0</v>
      </c>
      <c r="S60" s="130">
        <f t="shared" si="23"/>
        <v>37694196.780000001</v>
      </c>
      <c r="T60" s="88">
        <f t="shared" si="23"/>
        <v>487960.00000000041</v>
      </c>
      <c r="U60" s="88">
        <f t="shared" si="23"/>
        <v>1249500.2014358598</v>
      </c>
      <c r="V60" s="88">
        <f t="shared" si="23"/>
        <v>0</v>
      </c>
      <c r="W60" s="88">
        <f t="shared" si="23"/>
        <v>179442.96541211248</v>
      </c>
      <c r="X60" s="88">
        <f t="shared" si="23"/>
        <v>225975.48366996238</v>
      </c>
      <c r="Y60" s="88">
        <f t="shared" si="23"/>
        <v>267495.8894059977</v>
      </c>
      <c r="Z60" s="88">
        <f t="shared" si="23"/>
        <v>59976.540594302278</v>
      </c>
      <c r="AA60" s="88">
        <f t="shared" si="23"/>
        <v>276104.96070689493</v>
      </c>
      <c r="AB60" s="130">
        <f t="shared" si="23"/>
        <v>2746456.0412251297</v>
      </c>
      <c r="AC60" s="130">
        <f t="shared" si="23"/>
        <v>4087223.1425404581</v>
      </c>
      <c r="AD60" s="130">
        <f t="shared" si="23"/>
        <v>406213.68348489451</v>
      </c>
      <c r="AE60" s="130">
        <f t="shared" si="23"/>
        <v>51547.500000000131</v>
      </c>
      <c r="AF60" s="130">
        <f t="shared" si="23"/>
        <v>5500000</v>
      </c>
      <c r="AG60" s="130">
        <f t="shared" si="23"/>
        <v>0</v>
      </c>
      <c r="AH60" s="130">
        <f t="shared" si="23"/>
        <v>738826.89</v>
      </c>
      <c r="AI60" s="130">
        <f t="shared" si="23"/>
        <v>635191.99927499983</v>
      </c>
      <c r="AJ60" s="130">
        <f t="shared" si="23"/>
        <v>59796</v>
      </c>
      <c r="AK60" s="130">
        <f t="shared" si="23"/>
        <v>0</v>
      </c>
      <c r="AL60" s="89">
        <f>SUM(AL8:AL59)</f>
        <v>51919452.036525473</v>
      </c>
      <c r="AM60" s="103"/>
      <c r="AN60" s="87">
        <f>SUM(AN8:AN59)</f>
        <v>50485637.147250503</v>
      </c>
      <c r="AO60" s="88">
        <f>AN60/SUM('TABLE 4 - October 2016 Dataset'!F60:H60)</f>
        <v>3679.1748394731458</v>
      </c>
      <c r="AP60" s="88">
        <f t="shared" si="3"/>
        <v>0</v>
      </c>
      <c r="AQ60" s="123">
        <f>SUM(AQ8:AQ59)</f>
        <v>774819.60223515902</v>
      </c>
      <c r="AR60" s="89">
        <f>SUM(AR8:AR59)</f>
        <v>52694271.638760641</v>
      </c>
      <c r="AS60" s="103"/>
      <c r="AT60" s="87">
        <f>SUM(AT8:AT59)</f>
        <v>42011348.321711153</v>
      </c>
      <c r="AU60" s="88">
        <f>SUM(AU8:AU59)</f>
        <v>46455444.748760656</v>
      </c>
      <c r="AV60" s="88">
        <f>AT60/I60</f>
        <v>3061.6053287939917</v>
      </c>
      <c r="AW60" s="88">
        <f>AU60/I60</f>
        <v>3385.471851680561</v>
      </c>
      <c r="AX60" s="174">
        <f>(AW60/AV60)-1</f>
        <v>0.10578323725812977</v>
      </c>
      <c r="AY60" s="174">
        <f>IF(AX60&lt;AY$76,AY$76-AX60,0)</f>
        <v>0</v>
      </c>
      <c r="AZ60" s="88">
        <f>AY60*AV60</f>
        <v>0</v>
      </c>
      <c r="BA60" s="123">
        <f>SUM(BA8:BA59)</f>
        <v>77234.573292396846</v>
      </c>
      <c r="BB60" s="89">
        <f>SUM(BB8:BB59)</f>
        <v>52771506.212053046</v>
      </c>
      <c r="BC60" s="103"/>
      <c r="BD60" s="87">
        <f>SUM(BD8:BD59)</f>
        <v>48250175.211711168</v>
      </c>
      <c r="BE60" s="123">
        <f t="shared" si="18"/>
        <v>3516.2640439958582</v>
      </c>
      <c r="BF60" s="266">
        <f>SUM(BF8:BF59)</f>
        <v>52771506.212053046</v>
      </c>
      <c r="BG60" s="88">
        <f>BF60/SUM('TABLE 4 - October 2016 Dataset'!F60:H60)</f>
        <v>3845.7590884749343</v>
      </c>
      <c r="BH60" s="266">
        <f>SUM(BH8:BH59)</f>
        <v>4521331.0003418773</v>
      </c>
      <c r="BI60" s="88">
        <f t="shared" ref="BI60" si="24">BG60-BE60</f>
        <v>329.49504447907611</v>
      </c>
      <c r="BJ60" s="270">
        <f t="shared" ref="BJ60" si="25">BI60/BE60</f>
        <v>9.3706001698507319E-2</v>
      </c>
      <c r="BK60" s="103"/>
      <c r="BL60" s="87">
        <f>SUM(BL8:BL59)</f>
        <v>52807000</v>
      </c>
      <c r="BM60" s="90">
        <f>SUM(BM8:BM59)</f>
        <v>-38000</v>
      </c>
    </row>
    <row r="61" spans="2:67" ht="24.95" customHeight="1">
      <c r="B61" s="198"/>
      <c r="C61" s="92" t="s">
        <v>168</v>
      </c>
      <c r="D61" s="207"/>
      <c r="E61" s="92"/>
      <c r="F61" s="80"/>
      <c r="G61" s="108"/>
      <c r="H61" s="108"/>
      <c r="I61" s="94"/>
      <c r="J61" s="103"/>
      <c r="K61" s="80"/>
      <c r="L61" s="108"/>
      <c r="M61" s="108"/>
      <c r="N61" s="94"/>
      <c r="O61" s="103"/>
      <c r="P61" s="80"/>
      <c r="Q61" s="81"/>
      <c r="R61" s="122"/>
      <c r="S61" s="129"/>
      <c r="T61" s="81"/>
      <c r="U61" s="81"/>
      <c r="V61" s="81"/>
      <c r="W61" s="81"/>
      <c r="X61" s="81"/>
      <c r="Y61" s="81"/>
      <c r="Z61" s="108"/>
      <c r="AA61" s="108"/>
      <c r="AB61" s="129"/>
      <c r="AC61" s="140"/>
      <c r="AD61" s="140"/>
      <c r="AE61" s="140"/>
      <c r="AF61" s="140"/>
      <c r="AG61" s="140"/>
      <c r="AH61" s="140"/>
      <c r="AI61" s="140"/>
      <c r="AJ61" s="140"/>
      <c r="AK61" s="140"/>
      <c r="AL61" s="94"/>
      <c r="AM61" s="103"/>
      <c r="AN61" s="80"/>
      <c r="AO61" s="108"/>
      <c r="AP61" s="108"/>
      <c r="AQ61" s="108"/>
      <c r="AR61" s="94"/>
      <c r="AS61" s="103"/>
      <c r="AT61" s="80"/>
      <c r="AU61" s="108"/>
      <c r="AV61" s="108"/>
      <c r="AW61" s="108"/>
      <c r="AX61" s="108"/>
      <c r="AY61" s="108"/>
      <c r="AZ61" s="108"/>
      <c r="BA61" s="108"/>
      <c r="BB61" s="94"/>
      <c r="BC61" s="103"/>
      <c r="BD61" s="80"/>
      <c r="BE61" s="122"/>
      <c r="BF61" s="264"/>
      <c r="BG61" s="81"/>
      <c r="BH61" s="264"/>
      <c r="BI61" s="81"/>
      <c r="BJ61" s="84"/>
      <c r="BK61" s="103"/>
      <c r="BL61" s="80"/>
      <c r="BM61" s="84"/>
    </row>
    <row r="62" spans="2:67" ht="15.75">
      <c r="B62" s="198">
        <v>4702</v>
      </c>
      <c r="C62" s="60" t="s">
        <v>10</v>
      </c>
      <c r="D62" s="204"/>
      <c r="F62" s="80">
        <v>892</v>
      </c>
      <c r="G62" s="163"/>
      <c r="H62" s="163"/>
      <c r="I62" s="94">
        <f t="shared" ref="I62:I70" si="26">SUM(F62:H62)</f>
        <v>892</v>
      </c>
      <c r="J62" s="103"/>
      <c r="K62" s="80">
        <v>4233037.7352194302</v>
      </c>
      <c r="L62" s="163"/>
      <c r="M62" s="163"/>
      <c r="N62" s="94">
        <f t="shared" ref="N62:N68" si="27">SUM(K62:M62)</f>
        <v>4233037.7352194302</v>
      </c>
      <c r="O62" s="103"/>
      <c r="P62" s="159"/>
      <c r="Q62" s="81">
        <f>Q$78*'TABLE 4 - October 2016 Dataset'!G62</f>
        <v>2016303.3</v>
      </c>
      <c r="R62" s="122">
        <f>R$78*'TABLE 4 - October 2016 Dataset'!H62</f>
        <v>1622749.7000000002</v>
      </c>
      <c r="S62" s="162">
        <f t="shared" ref="S62:S70" si="28">SUM(P62:R62)</f>
        <v>3639053</v>
      </c>
      <c r="T62" s="165">
        <f>T$78*'TABLE 4 - October 2016 Dataset'!I62</f>
        <v>19360.000000000004</v>
      </c>
      <c r="U62" s="165">
        <f>U$78*'TABLE 4 - October 2016 Dataset'!J62</f>
        <v>93257.291196388251</v>
      </c>
      <c r="V62" s="165">
        <f>V$78*'TABLE 4 - October 2016 Dataset'!K62</f>
        <v>0</v>
      </c>
      <c r="W62" s="165">
        <f>W$78*'TABLE 4 - October 2016 Dataset'!L62</f>
        <v>8456.8848758465192</v>
      </c>
      <c r="X62" s="165">
        <f>X$78*'TABLE 4 - October 2016 Dataset'!M62</f>
        <v>13531.015801354408</v>
      </c>
      <c r="Y62" s="165">
        <f>Y$78*'TABLE 4 - October 2016 Dataset'!N62</f>
        <v>15036.139954853274</v>
      </c>
      <c r="Z62" s="165">
        <f>Z$78*'TABLE 4 - October 2016 Dataset'!O62</f>
        <v>8638.1038374717955</v>
      </c>
      <c r="AA62" s="165">
        <f>AA$78*'TABLE 4 - October 2016 Dataset'!P62</f>
        <v>29196.38826185096</v>
      </c>
      <c r="AB62" s="162">
        <f t="shared" ref="AB62:AB70" si="29">SUM(T62:AA62)</f>
        <v>187475.82392776522</v>
      </c>
      <c r="AC62" s="140">
        <f>AC$78*'TABLE 4 - October 2016 Dataset'!Q62</f>
        <v>230151.63281032039</v>
      </c>
      <c r="AD62" s="140">
        <f>AD$78*'TABLE 4 - October 2016 Dataset'!R62</f>
        <v>40345.923423423475</v>
      </c>
      <c r="AE62" s="140">
        <f>AE$78*'TABLE 4 - October 2016 Dataset'!S62</f>
        <v>0</v>
      </c>
      <c r="AF62" s="140">
        <f>AF$78</f>
        <v>110000</v>
      </c>
      <c r="AG62" s="140">
        <f>IF('TABLE 4 - October 2016 Dataset'!X62="No",0,"*CHECK*")</f>
        <v>0</v>
      </c>
      <c r="AH62" s="140">
        <f>'TABLE 4 - October 2016 Dataset'!Y62</f>
        <v>23801.78</v>
      </c>
      <c r="AI62" s="170">
        <f>IF('TABLE 4 - October 2016 Dataset'!Z62&gt;0,('TABLE 4 - October 2016 Dataset'!Z62*(1+'TABLE 1 - 2018-19 Provisional'!AI$79)*(1+AI$79))-((AI$76*SUM('TABLE 4 - October 2016 Dataset'!F62:H62))+AI$77),0)</f>
        <v>0</v>
      </c>
      <c r="AJ62" s="140">
        <f>IF('TABLE 4 - October 2016 Dataset'!AA62="Yes",'TABLE 3 - Target Illustrative'!AJ$78*SUM('TABLE 4 - October 2016 Dataset'!F62:H62),"")</f>
        <v>176616</v>
      </c>
      <c r="AK62" s="140">
        <f>AK$78*SUM(S62,AB62:AJ62)</f>
        <v>0</v>
      </c>
      <c r="AL62" s="94">
        <f t="shared" ref="AL62:AL70" si="30">SUM(S62,AB62:AK62)</f>
        <v>4407444.1601615092</v>
      </c>
      <c r="AM62" s="103"/>
      <c r="AN62" s="80">
        <f>AL62-SUM(AH62:AJ62)</f>
        <v>4207026.3801615089</v>
      </c>
      <c r="AO62" s="165">
        <f>AN62/SUM('TABLE 4 - October 2016 Dataset'!F62:H62)</f>
        <v>4716.3972871765791</v>
      </c>
      <c r="AP62" s="165">
        <f>IF(AO62&lt;AP$78,AP$78-AO62,0)</f>
        <v>83.602712823420916</v>
      </c>
      <c r="AQ62" s="165">
        <f>AP62*SUM('TABLE 4 - October 2016 Dataset'!F62:H62)</f>
        <v>74573.619838491461</v>
      </c>
      <c r="AR62" s="94">
        <f>AL62+AQ62</f>
        <v>4482017.78</v>
      </c>
      <c r="AS62" s="103"/>
      <c r="AT62" s="80">
        <f>N62-(AF62+AG62+'TABLE 4 - October 2016 Dataset'!Y62)</f>
        <v>4099235.9552194304</v>
      </c>
      <c r="AU62" s="187">
        <f>AR62-(AF62+AG62+AH62)</f>
        <v>4348216</v>
      </c>
      <c r="AV62" s="165">
        <f>AT62/I62</f>
        <v>4595.5560036092265</v>
      </c>
      <c r="AW62" s="165">
        <f>AU62/SUM('TABLE 4 - October 2016 Dataset'!F62:H62)</f>
        <v>4874.6816143497754</v>
      </c>
      <c r="AX62" s="173">
        <f>(AW62/AV62)-1</f>
        <v>6.073815889118328E-2</v>
      </c>
      <c r="AY62" s="173">
        <f>IF(AX62&lt;AY$78,AY$78-AX62,0)</f>
        <v>0</v>
      </c>
      <c r="AZ62" s="175">
        <f>AY62*AV62</f>
        <v>0</v>
      </c>
      <c r="BA62" s="165">
        <f>AZ62*I62</f>
        <v>0</v>
      </c>
      <c r="BB62" s="94">
        <f>AR62+BA62</f>
        <v>4482017.78</v>
      </c>
      <c r="BC62" s="103"/>
      <c r="BD62" s="80">
        <f t="shared" ref="BD62:BD70" si="31">N62</f>
        <v>4233037.7352194302</v>
      </c>
      <c r="BE62" s="122">
        <f t="shared" ref="BE62:BE70" si="32">BD62/I62</f>
        <v>4745.5579991249215</v>
      </c>
      <c r="BF62" s="264">
        <f t="shared" ref="BF62:BF70" si="33">BB62</f>
        <v>4482017.78</v>
      </c>
      <c r="BG62" s="81">
        <f>BF62/SUM('TABLE 4 - October 2016 Dataset'!F62:H62)</f>
        <v>5024.6836098654712</v>
      </c>
      <c r="BH62" s="264">
        <f t="shared" ref="BH62:BI70" si="34">BF62-BD62</f>
        <v>248980.04478057008</v>
      </c>
      <c r="BI62" s="81">
        <f t="shared" si="34"/>
        <v>279.12561074054975</v>
      </c>
      <c r="BJ62" s="269">
        <f t="shared" ref="BJ62:BJ70" si="35">BI62/BE62</f>
        <v>5.8818290871594105E-2</v>
      </c>
      <c r="BK62" s="103"/>
      <c r="BL62" s="80">
        <f>'TABLE 5 - DfE Published Figures'!T61</f>
        <v>4482000</v>
      </c>
      <c r="BM62" s="84">
        <f t="shared" ref="BM62:BM70" si="36">ROUND(BB62,-3)-BL62</f>
        <v>0</v>
      </c>
      <c r="BO62" s="103"/>
    </row>
    <row r="63" spans="2:67" ht="15.75">
      <c r="B63" s="198">
        <v>4500</v>
      </c>
      <c r="C63" s="60" t="s">
        <v>12</v>
      </c>
      <c r="D63" s="204" t="s">
        <v>70</v>
      </c>
      <c r="F63" s="80">
        <v>1119</v>
      </c>
      <c r="G63" s="163"/>
      <c r="H63" s="163"/>
      <c r="I63" s="94">
        <f t="shared" si="26"/>
        <v>1119</v>
      </c>
      <c r="J63" s="103"/>
      <c r="K63" s="80">
        <v>5195274.0768973688</v>
      </c>
      <c r="L63" s="163"/>
      <c r="M63" s="163"/>
      <c r="N63" s="94">
        <f t="shared" si="27"/>
        <v>5195274.0768973688</v>
      </c>
      <c r="O63" s="103"/>
      <c r="P63" s="159"/>
      <c r="Q63" s="81">
        <f>Q$78*'TABLE 4 - October 2016 Dataset'!G63</f>
        <v>2831322.45</v>
      </c>
      <c r="R63" s="122">
        <f>R$78*'TABLE 4 - October 2016 Dataset'!H63</f>
        <v>1692922.6600000001</v>
      </c>
      <c r="S63" s="162">
        <f t="shared" si="28"/>
        <v>4524245.1100000003</v>
      </c>
      <c r="T63" s="165">
        <f>T$78*'TABLE 4 - October 2016 Dataset'!I63</f>
        <v>44440</v>
      </c>
      <c r="U63" s="165">
        <f>U$78*'TABLE 4 - October 2016 Dataset'!J63</f>
        <v>177396.98048780489</v>
      </c>
      <c r="V63" s="165">
        <f>V$78*'TABLE 4 - October 2016 Dataset'!K63</f>
        <v>0</v>
      </c>
      <c r="W63" s="165">
        <f>W$78*'TABLE 4 - October 2016 Dataset'!L63</f>
        <v>60708.504923903296</v>
      </c>
      <c r="X63" s="165">
        <f>X$78*'TABLE 4 - October 2016 Dataset'!M63</f>
        <v>6171.0295434198733</v>
      </c>
      <c r="Y63" s="165">
        <f>Y$78*'TABLE 4 - October 2016 Dataset'!N63</f>
        <v>4127.3769024171925</v>
      </c>
      <c r="Z63" s="165">
        <f>Z$78*'TABLE 4 - October 2016 Dataset'!O63</f>
        <v>1172.0948970456589</v>
      </c>
      <c r="AA63" s="165">
        <f>AA$78*'TABLE 4 - October 2016 Dataset'!P63</f>
        <v>69724.619516562263</v>
      </c>
      <c r="AB63" s="162">
        <f t="shared" si="29"/>
        <v>363740.60627115314</v>
      </c>
      <c r="AC63" s="140">
        <f>AC$78*'TABLE 4 - October 2016 Dataset'!Q63</f>
        <v>398589.63396218396</v>
      </c>
      <c r="AD63" s="140">
        <f>AD$78*'TABLE 4 - October 2016 Dataset'!R63</f>
        <v>38814.686940965978</v>
      </c>
      <c r="AE63" s="140">
        <f>AE$78*'TABLE 4 - October 2016 Dataset'!S63</f>
        <v>0</v>
      </c>
      <c r="AF63" s="140">
        <f t="shared" ref="AF63:AF70" si="37">AF$78</f>
        <v>110000</v>
      </c>
      <c r="AG63" s="140">
        <f>IF('TABLE 4 - October 2016 Dataset'!X63="No",0,"*CHECK*")</f>
        <v>0</v>
      </c>
      <c r="AH63" s="140">
        <f>'TABLE 4 - October 2016 Dataset'!Y63</f>
        <v>36112.06</v>
      </c>
      <c r="AI63" s="170">
        <f>IF('TABLE 4 - October 2016 Dataset'!Z63&gt;0,('TABLE 4 - October 2016 Dataset'!Z63*(1+'TABLE 1 - 2018-19 Provisional'!AI$79)*(1+AI$79))-((AI$76*SUM('TABLE 4 - October 2016 Dataset'!F63:H63))+AI$77),0)</f>
        <v>0</v>
      </c>
      <c r="AJ63" s="166" t="str">
        <f>IF('TABLE 4 - October 2016 Dataset'!AA63="Yes",'TABLE 3 - Target Illustrative'!AJ$78*SUM('TABLE 4 - October 2016 Dataset'!F63:H63),"")</f>
        <v/>
      </c>
      <c r="AK63" s="140">
        <f t="shared" ref="AK63:AK70" si="38">AK$78*SUM(S63,AB63:AJ63)</f>
        <v>0</v>
      </c>
      <c r="AL63" s="94">
        <f t="shared" si="30"/>
        <v>5471502.0971743036</v>
      </c>
      <c r="AM63" s="103"/>
      <c r="AN63" s="80">
        <f t="shared" ref="AN63:AN70" si="39">AL63-SUM(AH63:AJ63)</f>
        <v>5435390.037174304</v>
      </c>
      <c r="AO63" s="165">
        <f>AN63/SUM('TABLE 4 - October 2016 Dataset'!F63:H63)</f>
        <v>4857.363750826009</v>
      </c>
      <c r="AP63" s="165">
        <f t="shared" ref="AP63:AP70" si="40">IF(AO63&lt;AP$78,AP$78-AO63,0)</f>
        <v>0</v>
      </c>
      <c r="AQ63" s="165">
        <f>AP63*SUM('TABLE 4 - October 2016 Dataset'!F63:H63)</f>
        <v>0</v>
      </c>
      <c r="AR63" s="94">
        <f t="shared" ref="AR63:AR70" si="41">AL63+AQ63</f>
        <v>5471502.0971743036</v>
      </c>
      <c r="AS63" s="103"/>
      <c r="AT63" s="80">
        <f>N63-(AF63+AG63+'TABLE 4 - October 2016 Dataset'!Y63)</f>
        <v>5049162.0168973692</v>
      </c>
      <c r="AU63" s="187">
        <f t="shared" ref="AU63:AU70" si="42">AR63-(AF63+AG63+AH63)</f>
        <v>5325390.037174304</v>
      </c>
      <c r="AV63" s="165">
        <f t="shared" ref="AV63:AV70" si="43">AT63/I63</f>
        <v>4512.2091303819207</v>
      </c>
      <c r="AW63" s="165">
        <f>AU63/SUM('TABLE 4 - October 2016 Dataset'!F63:H63)</f>
        <v>4759.0616954193956</v>
      </c>
      <c r="AX63" s="173">
        <f t="shared" ref="AX63:AX70" si="44">(AW63/AV63)-1</f>
        <v>5.4707695921128785E-2</v>
      </c>
      <c r="AY63" s="173">
        <f t="shared" ref="AY63:AY70" si="45">IF(AX63&lt;AY$78,AY$78-AX63,0)</f>
        <v>0</v>
      </c>
      <c r="AZ63" s="175">
        <f t="shared" ref="AZ63:AZ70" si="46">AY63*AV63</f>
        <v>0</v>
      </c>
      <c r="BA63" s="165">
        <f t="shared" ref="BA63:BA70" si="47">AZ63*I63</f>
        <v>0</v>
      </c>
      <c r="BB63" s="94">
        <f t="shared" ref="BB63:BB70" si="48">AR63+BA63</f>
        <v>5471502.0971743036</v>
      </c>
      <c r="BC63" s="103"/>
      <c r="BD63" s="80">
        <f t="shared" si="31"/>
        <v>5195274.0768973688</v>
      </c>
      <c r="BE63" s="122">
        <f t="shared" si="32"/>
        <v>4642.7829105427782</v>
      </c>
      <c r="BF63" s="264">
        <f t="shared" si="33"/>
        <v>5471502.0971743036</v>
      </c>
      <c r="BG63" s="81">
        <f>BF63/SUM('TABLE 4 - October 2016 Dataset'!F63:H63)</f>
        <v>4889.6354755802531</v>
      </c>
      <c r="BH63" s="264">
        <f t="shared" si="34"/>
        <v>276228.02027693484</v>
      </c>
      <c r="BI63" s="81">
        <f t="shared" si="34"/>
        <v>246.85256503747496</v>
      </c>
      <c r="BJ63" s="269">
        <f t="shared" si="35"/>
        <v>5.3169094871294752E-2</v>
      </c>
      <c r="BK63" s="103"/>
      <c r="BL63" s="80">
        <f>'TABLE 5 - DfE Published Figures'!T62</f>
        <v>5435000</v>
      </c>
      <c r="BM63" s="84">
        <f t="shared" si="36"/>
        <v>37000</v>
      </c>
      <c r="BO63" s="103"/>
    </row>
    <row r="64" spans="2:67" ht="15.75">
      <c r="B64" s="198">
        <v>4153</v>
      </c>
      <c r="C64" s="60" t="s">
        <v>7</v>
      </c>
      <c r="D64" s="204"/>
      <c r="F64" s="80">
        <v>1089</v>
      </c>
      <c r="G64" s="108">
        <v>10</v>
      </c>
      <c r="H64" s="163"/>
      <c r="I64" s="94">
        <f t="shared" si="26"/>
        <v>1099</v>
      </c>
      <c r="J64" s="103"/>
      <c r="K64" s="80">
        <v>4893015.9606378665</v>
      </c>
      <c r="L64" s="108">
        <v>42124.279130000003</v>
      </c>
      <c r="M64" s="163"/>
      <c r="N64" s="94">
        <f t="shared" si="27"/>
        <v>4935140.2397678662</v>
      </c>
      <c r="O64" s="103"/>
      <c r="P64" s="159"/>
      <c r="Q64" s="81">
        <f>Q$78*'TABLE 4 - October 2016 Dataset'!G64</f>
        <v>2626602</v>
      </c>
      <c r="R64" s="122">
        <f>R$78*'TABLE 4 - October 2016 Dataset'!H64</f>
        <v>1837654.3900000001</v>
      </c>
      <c r="S64" s="162">
        <f t="shared" si="28"/>
        <v>4464256.3900000006</v>
      </c>
      <c r="T64" s="165">
        <f>T$78*'TABLE 4 - October 2016 Dataset'!I64</f>
        <v>14080.000000000013</v>
      </c>
      <c r="U64" s="165">
        <f>U$78*'TABLE 4 - October 2016 Dataset'!J64</f>
        <v>63669.003690036901</v>
      </c>
      <c r="V64" s="165">
        <f>V$78*'TABLE 4 - October 2016 Dataset'!K64</f>
        <v>0</v>
      </c>
      <c r="W64" s="165">
        <f>W$78*'TABLE 4 - October 2016 Dataset'!L64</f>
        <v>601.0938924339107</v>
      </c>
      <c r="X64" s="165">
        <f>X$78*'TABLE 4 - October 2016 Dataset'!M64</f>
        <v>5049.1886964448486</v>
      </c>
      <c r="Y64" s="165">
        <f>Y$78*'TABLE 4 - October 2016 Dataset'!N64</f>
        <v>0</v>
      </c>
      <c r="Z64" s="165">
        <f>Z$78*'TABLE 4 - October 2016 Dataset'!O64</f>
        <v>390.71103008204199</v>
      </c>
      <c r="AA64" s="165">
        <f>AA$78*'TABLE 4 - October 2016 Dataset'!P64</f>
        <v>1452.6435733819508</v>
      </c>
      <c r="AB64" s="162">
        <f t="shared" si="29"/>
        <v>85242.640882379666</v>
      </c>
      <c r="AC64" s="140">
        <f>AC$78*'TABLE 4 - October 2016 Dataset'!Q64</f>
        <v>266890.635825295</v>
      </c>
      <c r="AD64" s="140">
        <f>AD$78*'TABLE 4 - October 2016 Dataset'!R64</f>
        <v>13938.782051282053</v>
      </c>
      <c r="AE64" s="140">
        <f>AE$78*'TABLE 4 - October 2016 Dataset'!S64</f>
        <v>0</v>
      </c>
      <c r="AF64" s="140">
        <f t="shared" si="37"/>
        <v>110000</v>
      </c>
      <c r="AG64" s="140">
        <f>IF('TABLE 4 - October 2016 Dataset'!X64="No",0,"*CHECK*")</f>
        <v>0</v>
      </c>
      <c r="AH64" s="140">
        <f>'TABLE 4 - October 2016 Dataset'!Y64</f>
        <v>144205.85999999999</v>
      </c>
      <c r="AI64" s="170">
        <f>IF('TABLE 4 - October 2016 Dataset'!Z64&gt;0,('TABLE 4 - October 2016 Dataset'!Z64*(1+'TABLE 1 - 2018-19 Provisional'!AI$79)*(1+AI$79))-((AI$76*SUM('TABLE 4 - October 2016 Dataset'!F64:H64))+AI$77),0)</f>
        <v>0</v>
      </c>
      <c r="AJ64" s="166" t="str">
        <f>IF('TABLE 4 - October 2016 Dataset'!AA64="Yes",'TABLE 3 - Target Illustrative'!AJ$78*SUM('TABLE 4 - October 2016 Dataset'!F64:H64),"")</f>
        <v/>
      </c>
      <c r="AK64" s="140">
        <f t="shared" si="38"/>
        <v>0</v>
      </c>
      <c r="AL64" s="94">
        <f t="shared" si="30"/>
        <v>5084534.3087589573</v>
      </c>
      <c r="AM64" s="103"/>
      <c r="AN64" s="80">
        <f t="shared" si="39"/>
        <v>4940328.448758957</v>
      </c>
      <c r="AO64" s="165">
        <f>AN64/SUM('TABLE 4 - October 2016 Dataset'!F64:H64)</f>
        <v>4495.2943118825815</v>
      </c>
      <c r="AP64" s="165">
        <f t="shared" si="40"/>
        <v>304.7056881174185</v>
      </c>
      <c r="AQ64" s="165">
        <f>AP64*SUM('TABLE 4 - October 2016 Dataset'!F64:H64)</f>
        <v>334871.55124104291</v>
      </c>
      <c r="AR64" s="94">
        <f t="shared" si="41"/>
        <v>5419405.8600000003</v>
      </c>
      <c r="AS64" s="103"/>
      <c r="AT64" s="80">
        <f>N64-(AF64+AG64+'TABLE 4 - October 2016 Dataset'!Y64)</f>
        <v>4680934.3797678659</v>
      </c>
      <c r="AU64" s="187">
        <f t="shared" si="42"/>
        <v>5165200</v>
      </c>
      <c r="AV64" s="165">
        <f t="shared" si="43"/>
        <v>4259.2669515631169</v>
      </c>
      <c r="AW64" s="165">
        <f>AU64/SUM('TABLE 4 - October 2016 Dataset'!F64:H64)</f>
        <v>4699.9090081892627</v>
      </c>
      <c r="AX64" s="173">
        <f t="shared" si="44"/>
        <v>0.10345490471416308</v>
      </c>
      <c r="AY64" s="173">
        <f t="shared" si="45"/>
        <v>0</v>
      </c>
      <c r="AZ64" s="175">
        <f t="shared" si="46"/>
        <v>0</v>
      </c>
      <c r="BA64" s="165">
        <f t="shared" si="47"/>
        <v>0</v>
      </c>
      <c r="BB64" s="94">
        <f t="shared" si="48"/>
        <v>5419405.8600000003</v>
      </c>
      <c r="BC64" s="103"/>
      <c r="BD64" s="80">
        <f t="shared" si="31"/>
        <v>4935140.2397678662</v>
      </c>
      <c r="BE64" s="122">
        <f t="shared" si="32"/>
        <v>4490.5734665767659</v>
      </c>
      <c r="BF64" s="264">
        <f t="shared" si="33"/>
        <v>5419405.8600000003</v>
      </c>
      <c r="BG64" s="81">
        <f>BF64/SUM('TABLE 4 - October 2016 Dataset'!F64:H64)</f>
        <v>4931.2155232029118</v>
      </c>
      <c r="BH64" s="264">
        <f t="shared" si="34"/>
        <v>484265.62023213413</v>
      </c>
      <c r="BI64" s="81">
        <f t="shared" si="34"/>
        <v>440.64205662614586</v>
      </c>
      <c r="BJ64" s="269">
        <f t="shared" si="35"/>
        <v>9.8126009941900391E-2</v>
      </c>
      <c r="BK64" s="103"/>
      <c r="BL64" s="80">
        <f>'TABLE 5 - DfE Published Figures'!T63</f>
        <v>5419000</v>
      </c>
      <c r="BM64" s="84">
        <f t="shared" si="36"/>
        <v>0</v>
      </c>
      <c r="BO64" s="103"/>
    </row>
    <row r="65" spans="2:67" ht="15.75">
      <c r="B65" s="198">
        <v>4063</v>
      </c>
      <c r="C65" s="60" t="s">
        <v>35</v>
      </c>
      <c r="D65" s="204"/>
      <c r="F65" s="80">
        <v>1181</v>
      </c>
      <c r="G65" s="163"/>
      <c r="H65" s="163"/>
      <c r="I65" s="94">
        <f t="shared" si="26"/>
        <v>1181</v>
      </c>
      <c r="J65" s="103"/>
      <c r="K65" s="80">
        <v>5408302.1560505908</v>
      </c>
      <c r="L65" s="163"/>
      <c r="M65" s="163"/>
      <c r="N65" s="94">
        <f t="shared" si="27"/>
        <v>5408302.1560505908</v>
      </c>
      <c r="O65" s="103"/>
      <c r="P65" s="159"/>
      <c r="Q65" s="81">
        <f>Q$78*'TABLE 4 - October 2016 Dataset'!G65</f>
        <v>2808146.5500000003</v>
      </c>
      <c r="R65" s="122">
        <f>R$78*'TABLE 4 - October 2016 Dataset'!H65</f>
        <v>1991157.7400000002</v>
      </c>
      <c r="S65" s="162">
        <f t="shared" si="28"/>
        <v>4799304.290000001</v>
      </c>
      <c r="T65" s="165">
        <f>T$78*'TABLE 4 - October 2016 Dataset'!I65</f>
        <v>26840.000000000007</v>
      </c>
      <c r="U65" s="165">
        <f>U$78*'TABLE 4 - October 2016 Dataset'!J65</f>
        <v>161336.87012987013</v>
      </c>
      <c r="V65" s="165">
        <f>V$78*'TABLE 4 - October 2016 Dataset'!K65</f>
        <v>0</v>
      </c>
      <c r="W65" s="165">
        <f>W$78*'TABLE 4 - October 2016 Dataset'!L65</f>
        <v>6015.2801358234337</v>
      </c>
      <c r="X65" s="165">
        <f>X$78*'TABLE 4 - October 2016 Dataset'!M65</f>
        <v>1122.8522920203741</v>
      </c>
      <c r="Y65" s="165">
        <f>Y$78*'TABLE 4 - October 2016 Dataset'!N65</f>
        <v>30978.692699490679</v>
      </c>
      <c r="Z65" s="165">
        <f>Z$78*'TABLE 4 - October 2016 Dataset'!O65</f>
        <v>8601.850594227486</v>
      </c>
      <c r="AA65" s="165">
        <f>AA$78*'TABLE 4 - October 2016 Dataset'!P65</f>
        <v>17153.573853989816</v>
      </c>
      <c r="AB65" s="162">
        <f t="shared" si="29"/>
        <v>252049.11970542191</v>
      </c>
      <c r="AC65" s="140">
        <f>AC$78*'TABLE 4 - October 2016 Dataset'!Q65</f>
        <v>310801.64998872322</v>
      </c>
      <c r="AD65" s="140">
        <f>AD$78*'TABLE 4 - October 2016 Dataset'!R65</f>
        <v>15273.798811544992</v>
      </c>
      <c r="AE65" s="140">
        <f>AE$78*'TABLE 4 - October 2016 Dataset'!S65</f>
        <v>0</v>
      </c>
      <c r="AF65" s="140">
        <f t="shared" si="37"/>
        <v>110000</v>
      </c>
      <c r="AG65" s="140">
        <f>IF('TABLE 4 - October 2016 Dataset'!X65="No",0,"*CHECK*")</f>
        <v>0</v>
      </c>
      <c r="AH65" s="140">
        <f>'TABLE 4 - October 2016 Dataset'!Y65</f>
        <v>186619.35</v>
      </c>
      <c r="AI65" s="170">
        <f>IF('TABLE 4 - October 2016 Dataset'!Z65&gt;0,('TABLE 4 - October 2016 Dataset'!Z65*(1+'TABLE 1 - 2018-19 Provisional'!AI$79)*(1+AI$79))-((AI$76*SUM('TABLE 4 - October 2016 Dataset'!F65:H65))+AI$77),0)</f>
        <v>0</v>
      </c>
      <c r="AJ65" s="166" t="str">
        <f>IF('TABLE 4 - October 2016 Dataset'!AA65="Yes",'TABLE 3 - Target Illustrative'!AJ$78*SUM('TABLE 4 - October 2016 Dataset'!F65:H65),"")</f>
        <v/>
      </c>
      <c r="AK65" s="140">
        <f t="shared" si="38"/>
        <v>0</v>
      </c>
      <c r="AL65" s="94">
        <f t="shared" si="30"/>
        <v>5674048.2085056901</v>
      </c>
      <c r="AM65" s="103"/>
      <c r="AN65" s="80">
        <f t="shared" si="39"/>
        <v>5487428.8585056905</v>
      </c>
      <c r="AO65" s="165">
        <f>AN65/SUM('TABLE 4 - October 2016 Dataset'!F65:H65)</f>
        <v>4646.4257904366559</v>
      </c>
      <c r="AP65" s="165">
        <f t="shared" si="40"/>
        <v>153.57420956334408</v>
      </c>
      <c r="AQ65" s="165">
        <f>AP65*SUM('TABLE 4 - October 2016 Dataset'!F65:H65)</f>
        <v>181371.14149430936</v>
      </c>
      <c r="AR65" s="94">
        <f t="shared" si="41"/>
        <v>5855419.3499999996</v>
      </c>
      <c r="AS65" s="103"/>
      <c r="AT65" s="80">
        <f>N65-(AF65+AG65+'TABLE 4 - October 2016 Dataset'!Y65)</f>
        <v>5111682.8060505912</v>
      </c>
      <c r="AU65" s="187">
        <f t="shared" si="42"/>
        <v>5558800</v>
      </c>
      <c r="AV65" s="165">
        <f t="shared" si="43"/>
        <v>4328.2665588912714</v>
      </c>
      <c r="AW65" s="165">
        <f>AU65/SUM('TABLE 4 - October 2016 Dataset'!F65:H65)</f>
        <v>4706.8585944115157</v>
      </c>
      <c r="AX65" s="173">
        <f t="shared" si="44"/>
        <v>8.7469667214124636E-2</v>
      </c>
      <c r="AY65" s="173">
        <f t="shared" si="45"/>
        <v>0</v>
      </c>
      <c r="AZ65" s="175">
        <f t="shared" si="46"/>
        <v>0</v>
      </c>
      <c r="BA65" s="165">
        <f t="shared" si="47"/>
        <v>0</v>
      </c>
      <c r="BB65" s="94">
        <f t="shared" si="48"/>
        <v>5855419.3499999996</v>
      </c>
      <c r="BC65" s="103"/>
      <c r="BD65" s="80">
        <f t="shared" si="31"/>
        <v>5408302.1560505908</v>
      </c>
      <c r="BE65" s="122">
        <f t="shared" si="32"/>
        <v>4579.4260423798396</v>
      </c>
      <c r="BF65" s="264">
        <f t="shared" si="33"/>
        <v>5855419.3499999996</v>
      </c>
      <c r="BG65" s="81">
        <f>BF65/SUM('TABLE 4 - October 2016 Dataset'!F65:H65)</f>
        <v>4958.0180779000848</v>
      </c>
      <c r="BH65" s="264">
        <f t="shared" si="34"/>
        <v>447117.19394940883</v>
      </c>
      <c r="BI65" s="81">
        <f t="shared" si="34"/>
        <v>378.59203552024519</v>
      </c>
      <c r="BJ65" s="269">
        <f t="shared" si="35"/>
        <v>8.267237684736102E-2</v>
      </c>
      <c r="BK65" s="103"/>
      <c r="BL65" s="80">
        <f>'TABLE 5 - DfE Published Figures'!T64</f>
        <v>5855000</v>
      </c>
      <c r="BM65" s="84">
        <f t="shared" si="36"/>
        <v>0</v>
      </c>
      <c r="BO65" s="103"/>
    </row>
    <row r="66" spans="2:67" ht="15.75">
      <c r="B66" s="198">
        <v>4508</v>
      </c>
      <c r="C66" s="60" t="s">
        <v>8</v>
      </c>
      <c r="D66" s="204"/>
      <c r="F66" s="80">
        <v>1050</v>
      </c>
      <c r="G66" s="108">
        <v>10</v>
      </c>
      <c r="H66" s="163"/>
      <c r="I66" s="94">
        <f t="shared" si="26"/>
        <v>1060</v>
      </c>
      <c r="J66" s="103"/>
      <c r="K66" s="80">
        <v>5072331.3671292821</v>
      </c>
      <c r="L66" s="108">
        <v>44365.282630000002</v>
      </c>
      <c r="M66" s="163"/>
      <c r="N66" s="94">
        <f t="shared" si="27"/>
        <v>5116696.6497592824</v>
      </c>
      <c r="O66" s="103"/>
      <c r="P66" s="159"/>
      <c r="Q66" s="81">
        <f>Q$78*'TABLE 4 - October 2016 Dataset'!G66</f>
        <v>2576387.5500000003</v>
      </c>
      <c r="R66" s="122">
        <f>R$78*'TABLE 4 - October 2016 Dataset'!H66</f>
        <v>1723623.33</v>
      </c>
      <c r="S66" s="162">
        <f t="shared" si="28"/>
        <v>4300010.8800000008</v>
      </c>
      <c r="T66" s="165">
        <f>T$78*'TABLE 4 - October 2016 Dataset'!I66</f>
        <v>36079.999999999985</v>
      </c>
      <c r="U66" s="165">
        <f>U$78*'TABLE 4 - October 2016 Dataset'!J66</f>
        <v>165616.038647343</v>
      </c>
      <c r="V66" s="165">
        <f>V$78*'TABLE 4 - October 2016 Dataset'!K66</f>
        <v>0</v>
      </c>
      <c r="W66" s="165">
        <f>W$78*'TABLE 4 - October 2016 Dataset'!L66</f>
        <v>13865.402843601909</v>
      </c>
      <c r="X66" s="165">
        <f>X$78*'TABLE 4 - October 2016 Dataset'!M66</f>
        <v>1125.3080568720391</v>
      </c>
      <c r="Y66" s="165">
        <f>Y$78*'TABLE 4 - October 2016 Dataset'!N66</f>
        <v>38290.616113744065</v>
      </c>
      <c r="Z66" s="165">
        <f>Z$78*'TABLE 4 - October 2016 Dataset'!O66</f>
        <v>22335.355450236948</v>
      </c>
      <c r="AA66" s="165">
        <f>AA$78*'TABLE 4 - October 2016 Dataset'!P66</f>
        <v>23892.701421800943</v>
      </c>
      <c r="AB66" s="162">
        <f t="shared" si="29"/>
        <v>301205.4225335989</v>
      </c>
      <c r="AC66" s="140">
        <f>AC$78*'TABLE 4 - October 2016 Dataset'!Q66</f>
        <v>387833.41514534585</v>
      </c>
      <c r="AD66" s="140">
        <f>AD$78*'TABLE 4 - October 2016 Dataset'!R66</f>
        <v>8310.0000000000055</v>
      </c>
      <c r="AE66" s="140">
        <f>AE$78*'TABLE 4 - October 2016 Dataset'!S66</f>
        <v>0</v>
      </c>
      <c r="AF66" s="140">
        <f t="shared" si="37"/>
        <v>110000</v>
      </c>
      <c r="AG66" s="140">
        <f>IF('TABLE 4 - October 2016 Dataset'!X66="No",0,"*CHECK*")</f>
        <v>0</v>
      </c>
      <c r="AH66" s="140">
        <f>'TABLE 4 - October 2016 Dataset'!Y66</f>
        <v>259328.19</v>
      </c>
      <c r="AI66" s="170">
        <f>IF('TABLE 4 - October 2016 Dataset'!Z66&gt;0,('TABLE 4 - October 2016 Dataset'!Z66*(1+'TABLE 1 - 2018-19 Provisional'!AI$79)*(1+AI$79))-((AI$76*SUM('TABLE 4 - October 2016 Dataset'!F66:H66))+AI$77),0)</f>
        <v>0</v>
      </c>
      <c r="AJ66" s="166" t="str">
        <f>IF('TABLE 4 - October 2016 Dataset'!AA66="Yes",'TABLE 3 - Target Illustrative'!AJ$78*SUM('TABLE 4 - October 2016 Dataset'!F66:H66),"")</f>
        <v/>
      </c>
      <c r="AK66" s="140">
        <f t="shared" si="38"/>
        <v>0</v>
      </c>
      <c r="AL66" s="94">
        <f t="shared" si="30"/>
        <v>5366687.9076789459</v>
      </c>
      <c r="AM66" s="103"/>
      <c r="AN66" s="80">
        <f t="shared" si="39"/>
        <v>5107359.7176789455</v>
      </c>
      <c r="AO66" s="165">
        <f>AN66/SUM('TABLE 4 - October 2016 Dataset'!F66:H66)</f>
        <v>4818.2638846027785</v>
      </c>
      <c r="AP66" s="165">
        <f t="shared" si="40"/>
        <v>0</v>
      </c>
      <c r="AQ66" s="165">
        <f>AP66*SUM('TABLE 4 - October 2016 Dataset'!F66:H66)</f>
        <v>0</v>
      </c>
      <c r="AR66" s="94">
        <f t="shared" si="41"/>
        <v>5366687.9076789459</v>
      </c>
      <c r="AS66" s="103"/>
      <c r="AT66" s="80">
        <f>N66-(AF66+AG66+'TABLE 4 - October 2016 Dataset'!Y66)</f>
        <v>4747368.4597592819</v>
      </c>
      <c r="AU66" s="187">
        <f t="shared" si="42"/>
        <v>4997359.7176789455</v>
      </c>
      <c r="AV66" s="165">
        <f t="shared" si="43"/>
        <v>4478.6494903389448</v>
      </c>
      <c r="AW66" s="165">
        <f>AU66/SUM('TABLE 4 - October 2016 Dataset'!F66:H66)</f>
        <v>4714.4902996971186</v>
      </c>
      <c r="AX66" s="173">
        <f t="shared" si="44"/>
        <v>5.2658911992759183E-2</v>
      </c>
      <c r="AY66" s="173">
        <f t="shared" si="45"/>
        <v>0</v>
      </c>
      <c r="AZ66" s="175">
        <f t="shared" si="46"/>
        <v>0</v>
      </c>
      <c r="BA66" s="165">
        <f t="shared" si="47"/>
        <v>0</v>
      </c>
      <c r="BB66" s="94">
        <f t="shared" si="48"/>
        <v>5366687.9076789459</v>
      </c>
      <c r="BC66" s="103"/>
      <c r="BD66" s="80">
        <f t="shared" si="31"/>
        <v>5116696.6497592824</v>
      </c>
      <c r="BE66" s="122">
        <f t="shared" si="32"/>
        <v>4827.0723110936624</v>
      </c>
      <c r="BF66" s="264">
        <f t="shared" si="33"/>
        <v>5366687.9076789459</v>
      </c>
      <c r="BG66" s="81">
        <f>BF66/SUM('TABLE 4 - October 2016 Dataset'!F66:H66)</f>
        <v>5062.9131204518362</v>
      </c>
      <c r="BH66" s="264">
        <f t="shared" si="34"/>
        <v>249991.25791966356</v>
      </c>
      <c r="BI66" s="81">
        <f t="shared" si="34"/>
        <v>235.84080935817383</v>
      </c>
      <c r="BJ66" s="269">
        <f t="shared" si="35"/>
        <v>4.8857940001470528E-2</v>
      </c>
      <c r="BK66" s="103"/>
      <c r="BL66" s="80">
        <f>'TABLE 5 - DfE Published Figures'!T65</f>
        <v>5367000</v>
      </c>
      <c r="BM66" s="84">
        <f t="shared" si="36"/>
        <v>0</v>
      </c>
      <c r="BO66" s="103"/>
    </row>
    <row r="67" spans="2:67" ht="15.75">
      <c r="B67" s="198">
        <v>4602</v>
      </c>
      <c r="C67" s="60" t="s">
        <v>39</v>
      </c>
      <c r="D67" s="204" t="s">
        <v>71</v>
      </c>
      <c r="F67" s="80">
        <v>1029</v>
      </c>
      <c r="G67" s="163"/>
      <c r="H67" s="163"/>
      <c r="I67" s="94">
        <f t="shared" si="26"/>
        <v>1029</v>
      </c>
      <c r="J67" s="103"/>
      <c r="K67" s="80">
        <v>4628341.3243124103</v>
      </c>
      <c r="L67" s="163"/>
      <c r="M67" s="163"/>
      <c r="N67" s="94">
        <f t="shared" si="27"/>
        <v>4628341.3243124103</v>
      </c>
      <c r="O67" s="103"/>
      <c r="P67" s="159"/>
      <c r="Q67" s="81">
        <f>Q$78*'TABLE 4 - October 2016 Dataset'!G67</f>
        <v>2557074.3000000003</v>
      </c>
      <c r="R67" s="122">
        <f>R$78*'TABLE 4 - October 2016 Dataset'!H67</f>
        <v>1609592.2700000003</v>
      </c>
      <c r="S67" s="162">
        <f t="shared" si="28"/>
        <v>4166666.5700000003</v>
      </c>
      <c r="T67" s="165">
        <f>T$78*'TABLE 4 - October 2016 Dataset'!I67</f>
        <v>20680</v>
      </c>
      <c r="U67" s="165">
        <f>U$78*'TABLE 4 - October 2016 Dataset'!J67</f>
        <v>93487.522842639592</v>
      </c>
      <c r="V67" s="165">
        <f>V$78*'TABLE 4 - October 2016 Dataset'!K67</f>
        <v>0</v>
      </c>
      <c r="W67" s="165">
        <f>W$78*'TABLE 4 - October 2016 Dataset'!L67</f>
        <v>1805.2631578947341</v>
      </c>
      <c r="X67" s="165">
        <f>X$78*'TABLE 4 - October 2016 Dataset'!M67</f>
        <v>31451.695906432724</v>
      </c>
      <c r="Y67" s="165">
        <f>Y$78*'TABLE 4 - October 2016 Dataset'!N67</f>
        <v>4132.0467836257294</v>
      </c>
      <c r="Z67" s="165">
        <f>Z$78*'TABLE 4 - October 2016 Dataset'!O67</f>
        <v>1173.4210526315771</v>
      </c>
      <c r="AA67" s="165">
        <f>AA$78*'TABLE 4 - October 2016 Dataset'!P67</f>
        <v>9016.2865497076164</v>
      </c>
      <c r="AB67" s="162">
        <f t="shared" si="29"/>
        <v>161746.23629293198</v>
      </c>
      <c r="AC67" s="140">
        <f>AC$78*'TABLE 4 - October 2016 Dataset'!Q67</f>
        <v>311529.46944680327</v>
      </c>
      <c r="AD67" s="140">
        <f>AD$78*'TABLE 4 - October 2016 Dataset'!R67</f>
        <v>2769.9999999999982</v>
      </c>
      <c r="AE67" s="140">
        <f>AE$78*'TABLE 4 - October 2016 Dataset'!S67</f>
        <v>0</v>
      </c>
      <c r="AF67" s="140">
        <f t="shared" si="37"/>
        <v>110000</v>
      </c>
      <c r="AG67" s="140">
        <f>IF('TABLE 4 - October 2016 Dataset'!X67="No",0,"*CHECK*")</f>
        <v>0</v>
      </c>
      <c r="AH67" s="140">
        <f>'TABLE 4 - October 2016 Dataset'!Y67</f>
        <v>59136.52</v>
      </c>
      <c r="AI67" s="170">
        <f>IF('TABLE 4 - October 2016 Dataset'!Z67&gt;0,('TABLE 4 - October 2016 Dataset'!Z67*(1+'TABLE 1 - 2018-19 Provisional'!AI$79)*(1+AI$79))-((AI$76*SUM('TABLE 4 - October 2016 Dataset'!F67:H67))+AI$77),0)</f>
        <v>0</v>
      </c>
      <c r="AJ67" s="166" t="str">
        <f>IF('TABLE 4 - October 2016 Dataset'!AA67="Yes",'TABLE 3 - Target Illustrative'!AJ$78*SUM('TABLE 4 - October 2016 Dataset'!F67:H67),"")</f>
        <v/>
      </c>
      <c r="AK67" s="140">
        <f t="shared" si="38"/>
        <v>0</v>
      </c>
      <c r="AL67" s="94">
        <f t="shared" si="30"/>
        <v>4811848.7957397355</v>
      </c>
      <c r="AM67" s="103"/>
      <c r="AN67" s="80">
        <f t="shared" si="39"/>
        <v>4752712.2757397359</v>
      </c>
      <c r="AO67" s="165">
        <f>AN67/SUM('TABLE 4 - October 2016 Dataset'!F67:H67)</f>
        <v>4618.7680036343399</v>
      </c>
      <c r="AP67" s="165">
        <f t="shared" si="40"/>
        <v>181.23199636566005</v>
      </c>
      <c r="AQ67" s="165">
        <f>AP67*SUM('TABLE 4 - October 2016 Dataset'!F67:H67)</f>
        <v>186487.72426026419</v>
      </c>
      <c r="AR67" s="94">
        <f t="shared" si="41"/>
        <v>4998336.5199999996</v>
      </c>
      <c r="AS67" s="103"/>
      <c r="AT67" s="80">
        <f>N67-(AF67+AG67+'TABLE 4 - October 2016 Dataset'!Y67)</f>
        <v>4459204.8043124108</v>
      </c>
      <c r="AU67" s="187">
        <f t="shared" si="42"/>
        <v>4829200</v>
      </c>
      <c r="AV67" s="165">
        <f t="shared" si="43"/>
        <v>4333.5323657069102</v>
      </c>
      <c r="AW67" s="165">
        <f>AU67/SUM('TABLE 4 - October 2016 Dataset'!F67:H67)</f>
        <v>4693.1000971817302</v>
      </c>
      <c r="AX67" s="173">
        <f t="shared" si="44"/>
        <v>8.2973357790109725E-2</v>
      </c>
      <c r="AY67" s="173">
        <f t="shared" si="45"/>
        <v>0</v>
      </c>
      <c r="AZ67" s="175">
        <f t="shared" si="46"/>
        <v>0</v>
      </c>
      <c r="BA67" s="165">
        <f t="shared" si="47"/>
        <v>0</v>
      </c>
      <c r="BB67" s="94">
        <f t="shared" si="48"/>
        <v>4998336.5199999996</v>
      </c>
      <c r="BC67" s="103"/>
      <c r="BD67" s="80">
        <f t="shared" si="31"/>
        <v>4628341.3243124103</v>
      </c>
      <c r="BE67" s="122">
        <f t="shared" si="32"/>
        <v>4497.9021616252776</v>
      </c>
      <c r="BF67" s="264">
        <f t="shared" si="33"/>
        <v>4998336.5199999996</v>
      </c>
      <c r="BG67" s="81">
        <f>BF67/SUM('TABLE 4 - October 2016 Dataset'!F67:H67)</f>
        <v>4857.4698931000967</v>
      </c>
      <c r="BH67" s="264">
        <f t="shared" si="34"/>
        <v>369995.19568758924</v>
      </c>
      <c r="BI67" s="81">
        <f t="shared" si="34"/>
        <v>359.56773147481908</v>
      </c>
      <c r="BJ67" s="269">
        <f t="shared" si="35"/>
        <v>7.9941207824069799E-2</v>
      </c>
      <c r="BK67" s="103"/>
      <c r="BL67" s="80">
        <f>'TABLE 5 - DfE Published Figures'!T66</f>
        <v>4939000</v>
      </c>
      <c r="BM67" s="84">
        <f t="shared" si="36"/>
        <v>59000</v>
      </c>
      <c r="BO67" s="103"/>
    </row>
    <row r="68" spans="2:67" ht="15.75">
      <c r="B68" s="198">
        <v>4229</v>
      </c>
      <c r="C68" s="60" t="s">
        <v>40</v>
      </c>
      <c r="D68" s="204" t="s">
        <v>73</v>
      </c>
      <c r="F68" s="80">
        <v>998</v>
      </c>
      <c r="G68" s="163"/>
      <c r="H68" s="163"/>
      <c r="I68" s="94">
        <f t="shared" si="26"/>
        <v>998</v>
      </c>
      <c r="J68" s="103"/>
      <c r="K68" s="80">
        <v>4554384.9466296714</v>
      </c>
      <c r="L68" s="163"/>
      <c r="M68" s="163"/>
      <c r="N68" s="94">
        <f t="shared" si="27"/>
        <v>4554384.9466296714</v>
      </c>
      <c r="O68" s="103"/>
      <c r="P68" s="159"/>
      <c r="Q68" s="81">
        <f>Q$78*'TABLE 4 - October 2016 Dataset'!G68</f>
        <v>2390980.35</v>
      </c>
      <c r="R68" s="122">
        <f>R$78*'TABLE 4 - October 2016 Dataset'!H68</f>
        <v>1662221.9900000002</v>
      </c>
      <c r="S68" s="162">
        <f t="shared" si="28"/>
        <v>4053202.3400000003</v>
      </c>
      <c r="T68" s="165">
        <f>T$78*'TABLE 4 - October 2016 Dataset'!I68</f>
        <v>30799.999999999982</v>
      </c>
      <c r="U68" s="165">
        <f>U$78*'TABLE 4 - October 2016 Dataset'!J68</f>
        <v>140045.3207150368</v>
      </c>
      <c r="V68" s="165">
        <f>V$78*'TABLE 4 - October 2016 Dataset'!K68</f>
        <v>0</v>
      </c>
      <c r="W68" s="165">
        <f>W$78*'TABLE 4 - October 2016 Dataset'!L68</f>
        <v>4800.0000000000018</v>
      </c>
      <c r="X68" s="165">
        <f>X$78*'TABLE 4 - October 2016 Dataset'!M68</f>
        <v>30800.000000000018</v>
      </c>
      <c r="Y68" s="165">
        <f>Y$78*'TABLE 4 - October 2016 Dataset'!N68</f>
        <v>18024.999999999989</v>
      </c>
      <c r="Z68" s="165">
        <f>Z$78*'TABLE 4 - October 2016 Dataset'!O68</f>
        <v>13260.000000000005</v>
      </c>
      <c r="AA68" s="165">
        <f>AA$78*'TABLE 4 - October 2016 Dataset'!P68</f>
        <v>26679.999999999989</v>
      </c>
      <c r="AB68" s="162">
        <f t="shared" si="29"/>
        <v>264410.32071503677</v>
      </c>
      <c r="AC68" s="140">
        <f>AC$78*'TABLE 4 - October 2016 Dataset'!Q68</f>
        <v>309291.20479997253</v>
      </c>
      <c r="AD68" s="140">
        <f>AD$78*'TABLE 4 - October 2016 Dataset'!R68</f>
        <v>23615.989949748753</v>
      </c>
      <c r="AE68" s="140">
        <f>AE$78*'TABLE 4 - October 2016 Dataset'!S68</f>
        <v>0</v>
      </c>
      <c r="AF68" s="140">
        <f t="shared" si="37"/>
        <v>110000</v>
      </c>
      <c r="AG68" s="140">
        <f>IF('TABLE 4 - October 2016 Dataset'!X68="No",0,"*CHECK*")</f>
        <v>0</v>
      </c>
      <c r="AH68" s="140">
        <f>'TABLE 4 - October 2016 Dataset'!Y68</f>
        <v>16992</v>
      </c>
      <c r="AI68" s="170">
        <f>IF('TABLE 4 - October 2016 Dataset'!Z68&gt;0,('TABLE 4 - October 2016 Dataset'!Z68*(1+'TABLE 1 - 2018-19 Provisional'!AI$79)*(1+AI$79))-((AI$76*SUM('TABLE 4 - October 2016 Dataset'!F68:H68))+AI$77),0)</f>
        <v>0</v>
      </c>
      <c r="AJ68" s="166" t="str">
        <f>IF('TABLE 4 - October 2016 Dataset'!AA68="Yes",'TABLE 3 - Target Illustrative'!AJ$78*SUM('TABLE 4 - October 2016 Dataset'!F68:H68),"")</f>
        <v/>
      </c>
      <c r="AK68" s="140">
        <f t="shared" si="38"/>
        <v>0</v>
      </c>
      <c r="AL68" s="94">
        <f t="shared" si="30"/>
        <v>4777511.8554647584</v>
      </c>
      <c r="AM68" s="103"/>
      <c r="AN68" s="80">
        <f t="shared" si="39"/>
        <v>4760519.8554647584</v>
      </c>
      <c r="AO68" s="165">
        <f>AN68/SUM('TABLE 4 - October 2016 Dataset'!F68:H68)</f>
        <v>4770.0599754155892</v>
      </c>
      <c r="AP68" s="165">
        <f t="shared" si="40"/>
        <v>29.940024584410821</v>
      </c>
      <c r="AQ68" s="165">
        <f>AP68*SUM('TABLE 4 - October 2016 Dataset'!F68:H68)</f>
        <v>29880.144535241998</v>
      </c>
      <c r="AR68" s="94">
        <f t="shared" si="41"/>
        <v>4807392</v>
      </c>
      <c r="AS68" s="103"/>
      <c r="AT68" s="80">
        <f>N68-(AF68+AG68+'TABLE 4 - October 2016 Dataset'!Y68)</f>
        <v>4427392.9466296714</v>
      </c>
      <c r="AU68" s="187">
        <f t="shared" si="42"/>
        <v>4680400</v>
      </c>
      <c r="AV68" s="165">
        <f t="shared" si="43"/>
        <v>4436.2654775848414</v>
      </c>
      <c r="AW68" s="165">
        <f>AU68/SUM('TABLE 4 - October 2016 Dataset'!F68:H68)</f>
        <v>4689.7795591182366</v>
      </c>
      <c r="AX68" s="173">
        <f t="shared" si="44"/>
        <v>5.7145831964819926E-2</v>
      </c>
      <c r="AY68" s="173">
        <f t="shared" si="45"/>
        <v>0</v>
      </c>
      <c r="AZ68" s="175">
        <f t="shared" si="46"/>
        <v>0</v>
      </c>
      <c r="BA68" s="165">
        <f t="shared" si="47"/>
        <v>0</v>
      </c>
      <c r="BB68" s="94">
        <f t="shared" si="48"/>
        <v>4807392</v>
      </c>
      <c r="BC68" s="103"/>
      <c r="BD68" s="80">
        <f t="shared" si="31"/>
        <v>4554384.9466296714</v>
      </c>
      <c r="BE68" s="122">
        <f t="shared" si="32"/>
        <v>4563.511970570813</v>
      </c>
      <c r="BF68" s="264">
        <f t="shared" si="33"/>
        <v>4807392</v>
      </c>
      <c r="BG68" s="81">
        <f>BF68/SUM('TABLE 4 - October 2016 Dataset'!F68:H68)</f>
        <v>4817.0260521042082</v>
      </c>
      <c r="BH68" s="264">
        <f t="shared" si="34"/>
        <v>253007.05337032862</v>
      </c>
      <c r="BI68" s="81">
        <f t="shared" si="34"/>
        <v>253.51408153339526</v>
      </c>
      <c r="BJ68" s="269">
        <f t="shared" si="35"/>
        <v>5.5552408576608862E-2</v>
      </c>
      <c r="BK68" s="103"/>
      <c r="BL68" s="80">
        <f>'TABLE 5 - DfE Published Figures'!T67</f>
        <v>4790000</v>
      </c>
      <c r="BM68" s="84">
        <f t="shared" si="36"/>
        <v>17000</v>
      </c>
      <c r="BO68" s="103"/>
    </row>
    <row r="69" spans="2:67" ht="15.75">
      <c r="B69" s="198">
        <v>4003</v>
      </c>
      <c r="C69" s="60" t="s">
        <v>150</v>
      </c>
      <c r="D69" s="204" t="s">
        <v>71</v>
      </c>
      <c r="F69" s="80">
        <v>522</v>
      </c>
      <c r="G69" s="163"/>
      <c r="H69" s="163"/>
      <c r="I69" s="94">
        <f>SUM(F69:H69)</f>
        <v>522</v>
      </c>
      <c r="J69" s="103"/>
      <c r="K69" s="80">
        <v>2708707.8136682264</v>
      </c>
      <c r="L69" s="163"/>
      <c r="M69" s="163"/>
      <c r="N69" s="94">
        <f>SUM(K69:M69)</f>
        <v>2708707.8136682264</v>
      </c>
      <c r="O69" s="103"/>
      <c r="P69" s="159"/>
      <c r="Q69" s="81">
        <f>Q$78*'TABLE 4 - October 2016 Dataset'!G69</f>
        <v>1255361.25</v>
      </c>
      <c r="R69" s="122">
        <f>R$78*'TABLE 4 - October 2016 Dataset'!H69</f>
        <v>864004.57000000007</v>
      </c>
      <c r="S69" s="162">
        <f t="shared" si="28"/>
        <v>2119365.8200000003</v>
      </c>
      <c r="T69" s="165">
        <f>T$78*'TABLE 4 - October 2016 Dataset'!I69</f>
        <v>38280.000000000073</v>
      </c>
      <c r="U69" s="165">
        <f>U$78*'TABLE 4 - October 2016 Dataset'!J69</f>
        <v>118342.22003929275</v>
      </c>
      <c r="V69" s="165">
        <f>V$78*'TABLE 4 - October 2016 Dataset'!K69</f>
        <v>0</v>
      </c>
      <c r="W69" s="165">
        <f>W$78*'TABLE 4 - October 2016 Dataset'!L69</f>
        <v>42681.765834932987</v>
      </c>
      <c r="X69" s="165">
        <f>X$78*'TABLE 4 - October 2016 Dataset'!M69</f>
        <v>1683.2245681381967</v>
      </c>
      <c r="Y69" s="165">
        <f>Y$78*'TABLE 4 - October 2016 Dataset'!N69</f>
        <v>26831.401151631479</v>
      </c>
      <c r="Z69" s="165">
        <f>Z$78*'TABLE 4 - October 2016 Dataset'!O69</f>
        <v>781.49712092130505</v>
      </c>
      <c r="AA69" s="165">
        <f>AA$78*'TABLE 4 - October 2016 Dataset'!P69</f>
        <v>14818.387715930903</v>
      </c>
      <c r="AB69" s="162">
        <f t="shared" si="29"/>
        <v>243418.49643084768</v>
      </c>
      <c r="AC69" s="140">
        <f>AC$78*'TABLE 4 - October 2016 Dataset'!Q69</f>
        <v>196901.67866971547</v>
      </c>
      <c r="AD69" s="140">
        <f>AD$78*'TABLE 4 - October 2016 Dataset'!R69</f>
        <v>20814.875239923236</v>
      </c>
      <c r="AE69" s="140">
        <f>AE$78*'TABLE 4 - October 2016 Dataset'!S69</f>
        <v>0</v>
      </c>
      <c r="AF69" s="140">
        <f t="shared" si="37"/>
        <v>110000</v>
      </c>
      <c r="AG69" s="140">
        <f>IF('TABLE 4 - October 2016 Dataset'!X69="No",0,"*CHECK*")</f>
        <v>0</v>
      </c>
      <c r="AH69" s="140">
        <f>'TABLE 4 - October 2016 Dataset'!Y69</f>
        <v>97429.84</v>
      </c>
      <c r="AI69" s="170">
        <f>IF('TABLE 4 - October 2016 Dataset'!Z69&gt;0,('TABLE 4 - October 2016 Dataset'!Z69*(1+'TABLE 1 - 2018-19 Provisional'!AI$79)*(1+AI$79))-((AI$76*SUM('TABLE 4 - October 2016 Dataset'!F69:H69))+AI$77),0)</f>
        <v>0</v>
      </c>
      <c r="AJ69" s="166" t="str">
        <f>IF('TABLE 4 - October 2016 Dataset'!AA69="Yes",'TABLE 3 - Target Illustrative'!AJ$78*SUM('TABLE 4 - October 2016 Dataset'!F69:H69),"")</f>
        <v/>
      </c>
      <c r="AK69" s="140">
        <f t="shared" si="38"/>
        <v>0</v>
      </c>
      <c r="AL69" s="94">
        <f t="shared" si="30"/>
        <v>2787930.7103404864</v>
      </c>
      <c r="AM69" s="103"/>
      <c r="AN69" s="80">
        <f t="shared" si="39"/>
        <v>2690500.8703404865</v>
      </c>
      <c r="AO69" s="165">
        <f>AN69/SUM('TABLE 4 - October 2016 Dataset'!F69:H69)</f>
        <v>5154.216226705913</v>
      </c>
      <c r="AP69" s="165">
        <f t="shared" si="40"/>
        <v>0</v>
      </c>
      <c r="AQ69" s="165">
        <f>AP69*SUM('TABLE 4 - October 2016 Dataset'!F69:H69)</f>
        <v>0</v>
      </c>
      <c r="AR69" s="94">
        <f t="shared" si="41"/>
        <v>2787930.7103404864</v>
      </c>
      <c r="AS69" s="103"/>
      <c r="AT69" s="80">
        <f>N69-(AF69+AG69+'TABLE 4 - October 2016 Dataset'!Y69)</f>
        <v>2501277.9736682265</v>
      </c>
      <c r="AU69" s="187">
        <f t="shared" si="42"/>
        <v>2580500.8703404865</v>
      </c>
      <c r="AV69" s="165">
        <f t="shared" si="43"/>
        <v>4791.7202560693995</v>
      </c>
      <c r="AW69" s="165">
        <f>AU69/SUM('TABLE 4 - October 2016 Dataset'!F69:H69)</f>
        <v>4943.488257357254</v>
      </c>
      <c r="AX69" s="173">
        <f t="shared" si="44"/>
        <v>3.1672967781376293E-2</v>
      </c>
      <c r="AY69" s="173">
        <f t="shared" si="45"/>
        <v>0</v>
      </c>
      <c r="AZ69" s="175">
        <f t="shared" si="46"/>
        <v>0</v>
      </c>
      <c r="BA69" s="165">
        <f t="shared" si="47"/>
        <v>0</v>
      </c>
      <c r="BB69" s="94">
        <f t="shared" si="48"/>
        <v>2787930.7103404864</v>
      </c>
      <c r="BC69" s="103"/>
      <c r="BD69" s="80">
        <f t="shared" si="31"/>
        <v>2708707.8136682264</v>
      </c>
      <c r="BE69" s="122">
        <f t="shared" si="32"/>
        <v>5189.0954284831923</v>
      </c>
      <c r="BF69" s="264">
        <f t="shared" si="33"/>
        <v>2787930.7103404864</v>
      </c>
      <c r="BG69" s="81">
        <f>BF69/SUM('TABLE 4 - October 2016 Dataset'!F69:H69)</f>
        <v>5340.8634297710469</v>
      </c>
      <c r="BH69" s="264">
        <f t="shared" si="34"/>
        <v>79222.896672260016</v>
      </c>
      <c r="BI69" s="81">
        <f t="shared" si="34"/>
        <v>151.76800128785453</v>
      </c>
      <c r="BJ69" s="269">
        <f t="shared" si="35"/>
        <v>2.9247487038837776E-2</v>
      </c>
      <c r="BK69" s="103"/>
      <c r="BL69" s="80">
        <f>'TABLE 5 - DfE Published Figures'!T68</f>
        <v>2788000</v>
      </c>
      <c r="BM69" s="84">
        <f t="shared" si="36"/>
        <v>0</v>
      </c>
      <c r="BO69" s="103"/>
    </row>
    <row r="70" spans="2:67" ht="15.75">
      <c r="B70" s="198">
        <v>4703</v>
      </c>
      <c r="C70" s="60" t="s">
        <v>64</v>
      </c>
      <c r="D70" s="204"/>
      <c r="F70" s="80">
        <v>740</v>
      </c>
      <c r="G70" s="163"/>
      <c r="H70" s="163"/>
      <c r="I70" s="94">
        <f t="shared" si="26"/>
        <v>740</v>
      </c>
      <c r="J70" s="103"/>
      <c r="K70" s="80">
        <v>3840837.7017663675</v>
      </c>
      <c r="L70" s="163"/>
      <c r="M70" s="163"/>
      <c r="N70" s="94">
        <f>SUM(K70:M70)</f>
        <v>3840837.7017663675</v>
      </c>
      <c r="O70" s="103"/>
      <c r="P70" s="159"/>
      <c r="Q70" s="81">
        <f>Q$78*'TABLE 4 - October 2016 Dataset'!G70</f>
        <v>1699566</v>
      </c>
      <c r="R70" s="122">
        <f>R$78*'TABLE 4 - October 2016 Dataset'!H70</f>
        <v>1315743.0000000002</v>
      </c>
      <c r="S70" s="162">
        <f t="shared" si="28"/>
        <v>3015309</v>
      </c>
      <c r="T70" s="165">
        <f>T$78*'TABLE 4 - October 2016 Dataset'!I70</f>
        <v>37400.000000000044</v>
      </c>
      <c r="U70" s="165">
        <f>U$78*'TABLE 4 - October 2016 Dataset'!J70</f>
        <v>200283.88375165127</v>
      </c>
      <c r="V70" s="165">
        <f>V$78*'TABLE 4 - October 2016 Dataset'!K70</f>
        <v>0</v>
      </c>
      <c r="W70" s="165">
        <f>W$78*'TABLE 4 - October 2016 Dataset'!L70</f>
        <v>0</v>
      </c>
      <c r="X70" s="165">
        <f>X$78*'TABLE 4 - October 2016 Dataset'!M70</f>
        <v>54954.262516914634</v>
      </c>
      <c r="Y70" s="165">
        <f>Y$78*'TABLE 4 - October 2016 Dataset'!N70</f>
        <v>55179.566982408709</v>
      </c>
      <c r="Z70" s="165">
        <f>Z$78*'TABLE 4 - October 2016 Dataset'!O70</f>
        <v>0</v>
      </c>
      <c r="AA70" s="165">
        <f>AA$78*'TABLE 4 - October 2016 Dataset'!P70</f>
        <v>38622.192151556097</v>
      </c>
      <c r="AB70" s="162">
        <f t="shared" si="29"/>
        <v>386439.90540253074</v>
      </c>
      <c r="AC70" s="140">
        <f>AC$78*'TABLE 4 - October 2016 Dataset'!Q70</f>
        <v>356458.80627830955</v>
      </c>
      <c r="AD70" s="140">
        <f>AD$78*'TABLE 4 - October 2016 Dataset'!R70</f>
        <v>16619.999999999982</v>
      </c>
      <c r="AE70" s="140">
        <f>AE$78*'TABLE 4 - October 2016 Dataset'!S70</f>
        <v>0</v>
      </c>
      <c r="AF70" s="140">
        <f t="shared" si="37"/>
        <v>110000</v>
      </c>
      <c r="AG70" s="140">
        <f>IF('TABLE 4 - October 2016 Dataset'!X70="No",0,"*CHECK*")</f>
        <v>0</v>
      </c>
      <c r="AH70" s="140">
        <f>'TABLE 4 - October 2016 Dataset'!Y70</f>
        <v>159959.44</v>
      </c>
      <c r="AI70" s="170">
        <f>IF('TABLE 4 - October 2016 Dataset'!Z70&gt;0,('TABLE 4 - October 2016 Dataset'!Z70*(1+'TABLE 1 - 2018-19 Provisional'!AI$79)*(1+AI$79))-((AI$76*SUM('TABLE 4 - October 2016 Dataset'!F70:H70))+AI$77),0)</f>
        <v>0</v>
      </c>
      <c r="AJ70" s="166" t="str">
        <f>IF('TABLE 4 - October 2016 Dataset'!AA70="Yes",'TABLE 3 - Target Illustrative'!AJ$78*SUM('TABLE 4 - October 2016 Dataset'!F70:H70),"")</f>
        <v/>
      </c>
      <c r="AK70" s="140">
        <f t="shared" si="38"/>
        <v>0</v>
      </c>
      <c r="AL70" s="94">
        <f t="shared" si="30"/>
        <v>4044787.1516808406</v>
      </c>
      <c r="AM70" s="103"/>
      <c r="AN70" s="80">
        <f t="shared" si="39"/>
        <v>3884827.7116808407</v>
      </c>
      <c r="AO70" s="165">
        <f>AN70/SUM('TABLE 4 - October 2016 Dataset'!F70:H70)</f>
        <v>5249.767177947082</v>
      </c>
      <c r="AP70" s="165">
        <f t="shared" si="40"/>
        <v>0</v>
      </c>
      <c r="AQ70" s="165">
        <f>AP70*SUM('TABLE 4 - October 2016 Dataset'!F70:H70)</f>
        <v>0</v>
      </c>
      <c r="AR70" s="94">
        <f t="shared" si="41"/>
        <v>4044787.1516808406</v>
      </c>
      <c r="AS70" s="103"/>
      <c r="AT70" s="80">
        <f>N70-(AF70+AG70+'TABLE 4 - October 2016 Dataset'!Y70)</f>
        <v>3570878.2617663676</v>
      </c>
      <c r="AU70" s="187">
        <f t="shared" si="42"/>
        <v>3774827.7116808407</v>
      </c>
      <c r="AV70" s="165">
        <f t="shared" si="43"/>
        <v>4825.5111645491452</v>
      </c>
      <c r="AW70" s="165">
        <f>AU70/SUM('TABLE 4 - October 2016 Dataset'!F70:H70)</f>
        <v>5101.1185292984337</v>
      </c>
      <c r="AX70" s="173">
        <f t="shared" si="44"/>
        <v>5.7114646583775741E-2</v>
      </c>
      <c r="AY70" s="173">
        <f t="shared" si="45"/>
        <v>0</v>
      </c>
      <c r="AZ70" s="175">
        <f t="shared" si="46"/>
        <v>0</v>
      </c>
      <c r="BA70" s="165">
        <f t="shared" si="47"/>
        <v>0</v>
      </c>
      <c r="BB70" s="94">
        <f t="shared" si="48"/>
        <v>4044787.1516808406</v>
      </c>
      <c r="BC70" s="103"/>
      <c r="BD70" s="80">
        <f t="shared" si="31"/>
        <v>3840837.7017663675</v>
      </c>
      <c r="BE70" s="122">
        <f t="shared" si="32"/>
        <v>5190.3212186031997</v>
      </c>
      <c r="BF70" s="264">
        <f t="shared" si="33"/>
        <v>4044787.1516808406</v>
      </c>
      <c r="BG70" s="81">
        <f>BF70/SUM('TABLE 4 - October 2016 Dataset'!F70:H70)</f>
        <v>5465.9285833524873</v>
      </c>
      <c r="BH70" s="264">
        <f t="shared" si="34"/>
        <v>203949.44991447311</v>
      </c>
      <c r="BI70" s="81">
        <f t="shared" si="34"/>
        <v>275.60736474928763</v>
      </c>
      <c r="BJ70" s="269">
        <f t="shared" si="35"/>
        <v>5.310025201551169E-2</v>
      </c>
      <c r="BK70" s="103"/>
      <c r="BL70" s="80">
        <f>'TABLE 5 - DfE Published Figures'!T69</f>
        <v>4045000</v>
      </c>
      <c r="BM70" s="84">
        <f t="shared" si="36"/>
        <v>0</v>
      </c>
      <c r="BO70" s="103"/>
    </row>
    <row r="71" spans="2:67" ht="5.0999999999999996" customHeight="1">
      <c r="B71" s="198"/>
      <c r="C71" s="60"/>
      <c r="D71" s="204"/>
      <c r="F71" s="80"/>
      <c r="G71" s="108"/>
      <c r="H71" s="108"/>
      <c r="I71" s="94"/>
      <c r="J71" s="103"/>
      <c r="K71" s="80"/>
      <c r="L71" s="108"/>
      <c r="M71" s="108"/>
      <c r="N71" s="94"/>
      <c r="O71" s="103"/>
      <c r="P71" s="80"/>
      <c r="Q71" s="81"/>
      <c r="R71" s="122"/>
      <c r="S71" s="129"/>
      <c r="T71" s="81"/>
      <c r="U71" s="81"/>
      <c r="V71" s="81"/>
      <c r="W71" s="81"/>
      <c r="X71" s="81"/>
      <c r="Y71" s="81"/>
      <c r="Z71" s="108"/>
      <c r="AA71" s="108"/>
      <c r="AB71" s="129"/>
      <c r="AC71" s="140"/>
      <c r="AD71" s="140"/>
      <c r="AE71" s="140"/>
      <c r="AF71" s="140"/>
      <c r="AG71" s="140"/>
      <c r="AH71" s="140"/>
      <c r="AI71" s="140"/>
      <c r="AJ71" s="140"/>
      <c r="AK71" s="140"/>
      <c r="AL71" s="94"/>
      <c r="AM71" s="103"/>
      <c r="AN71" s="80"/>
      <c r="AO71" s="108"/>
      <c r="AP71" s="108"/>
      <c r="AQ71" s="108"/>
      <c r="AR71" s="94"/>
      <c r="AS71" s="103"/>
      <c r="AT71" s="80"/>
      <c r="AU71" s="108"/>
      <c r="AV71" s="108"/>
      <c r="AW71" s="108"/>
      <c r="AX71" s="108"/>
      <c r="AY71" s="108"/>
      <c r="AZ71" s="108"/>
      <c r="BA71" s="108"/>
      <c r="BB71" s="94"/>
      <c r="BC71" s="103"/>
      <c r="BD71" s="188"/>
      <c r="BE71" s="261"/>
      <c r="BF71" s="265"/>
      <c r="BG71" s="212"/>
      <c r="BH71" s="265"/>
      <c r="BI71" s="212"/>
      <c r="BJ71" s="84"/>
      <c r="BK71" s="103"/>
      <c r="BL71" s="188"/>
      <c r="BM71" s="84"/>
    </row>
    <row r="72" spans="2:67" s="104" customFormat="1" ht="15.75">
      <c r="B72" s="205"/>
      <c r="C72" s="85" t="s">
        <v>170</v>
      </c>
      <c r="D72" s="206"/>
      <c r="E72" s="86"/>
      <c r="F72" s="87">
        <f>SUM(F61:F71)</f>
        <v>8620</v>
      </c>
      <c r="G72" s="109">
        <f>SUM(G61:G71)</f>
        <v>20</v>
      </c>
      <c r="H72" s="112">
        <f>SUM(H61:H71)</f>
        <v>0</v>
      </c>
      <c r="I72" s="89">
        <f>SUM(I61:I71)</f>
        <v>8640</v>
      </c>
      <c r="J72" s="103"/>
      <c r="K72" s="87">
        <f>SUM(K61:K71)</f>
        <v>40534233.082311213</v>
      </c>
      <c r="L72" s="109">
        <f>SUM(L61:L71)</f>
        <v>86489.561760000011</v>
      </c>
      <c r="M72" s="112">
        <f>SUM(M61:M71)</f>
        <v>0</v>
      </c>
      <c r="N72" s="89">
        <f>SUM(N61:N71)</f>
        <v>40620722.644071214</v>
      </c>
      <c r="O72" s="103"/>
      <c r="P72" s="87">
        <f t="shared" ref="P72:AL72" si="49">SUM(P61:P71)</f>
        <v>0</v>
      </c>
      <c r="Q72" s="88">
        <f t="shared" si="49"/>
        <v>20761743.750000004</v>
      </c>
      <c r="R72" s="123">
        <f t="shared" si="49"/>
        <v>14319669.65</v>
      </c>
      <c r="S72" s="130">
        <f t="shared" si="49"/>
        <v>35081413.400000006</v>
      </c>
      <c r="T72" s="88">
        <f t="shared" si="49"/>
        <v>267960.00000000012</v>
      </c>
      <c r="U72" s="88">
        <f t="shared" si="49"/>
        <v>1213435.1315000635</v>
      </c>
      <c r="V72" s="88">
        <f t="shared" si="49"/>
        <v>0</v>
      </c>
      <c r="W72" s="88">
        <f t="shared" si="49"/>
        <v>138934.19566443679</v>
      </c>
      <c r="X72" s="88">
        <f t="shared" si="49"/>
        <v>145888.5773815971</v>
      </c>
      <c r="Y72" s="88">
        <f t="shared" si="49"/>
        <v>192600.84058817109</v>
      </c>
      <c r="Z72" s="88">
        <f t="shared" si="49"/>
        <v>56353.033982616827</v>
      </c>
      <c r="AA72" s="88">
        <f t="shared" si="49"/>
        <v>230556.79304478056</v>
      </c>
      <c r="AB72" s="130">
        <f t="shared" si="49"/>
        <v>2245728.5721616661</v>
      </c>
      <c r="AC72" s="130">
        <f t="shared" si="49"/>
        <v>2768448.1269266689</v>
      </c>
      <c r="AD72" s="130">
        <f t="shared" si="49"/>
        <v>180504.05641688849</v>
      </c>
      <c r="AE72" s="130">
        <f t="shared" si="49"/>
        <v>0</v>
      </c>
      <c r="AF72" s="130">
        <f t="shared" si="49"/>
        <v>990000</v>
      </c>
      <c r="AG72" s="130">
        <f t="shared" si="49"/>
        <v>0</v>
      </c>
      <c r="AH72" s="130">
        <f t="shared" si="49"/>
        <v>983585.04</v>
      </c>
      <c r="AI72" s="130">
        <f t="shared" si="49"/>
        <v>0</v>
      </c>
      <c r="AJ72" s="130">
        <f t="shared" si="49"/>
        <v>176616</v>
      </c>
      <c r="AK72" s="130">
        <f t="shared" si="49"/>
        <v>0</v>
      </c>
      <c r="AL72" s="89">
        <f t="shared" si="49"/>
        <v>42426295.195505232</v>
      </c>
      <c r="AM72" s="103"/>
      <c r="AN72" s="87">
        <f>SUM(AN61:AN71)</f>
        <v>41266094.155505225</v>
      </c>
      <c r="AO72" s="88">
        <f>AN72/SUM('TABLE 4 - October 2016 Dataset'!F72:H72)</f>
        <v>4776.1683050353267</v>
      </c>
      <c r="AP72" s="88">
        <f>IF(AO72&lt;AP$78,AP$78-AO72,0)</f>
        <v>23.831694964673261</v>
      </c>
      <c r="AQ72" s="123">
        <f>SUM(AQ61:AQ71)</f>
        <v>807184.18136934983</v>
      </c>
      <c r="AR72" s="89">
        <f>SUM(AR61:AR71)</f>
        <v>43233479.376874581</v>
      </c>
      <c r="AS72" s="103"/>
      <c r="AT72" s="87">
        <f>SUM(AT61:AT71)</f>
        <v>38647137.604071215</v>
      </c>
      <c r="AU72" s="88">
        <f>SUM(AU61:AU71)</f>
        <v>41259894.336874574</v>
      </c>
      <c r="AV72" s="88">
        <f>AT72/I72</f>
        <v>4473.0483338045387</v>
      </c>
      <c r="AW72" s="88">
        <f>AU72/SUM('TABLE 4 - October 2016 Dataset'!F72:H72)</f>
        <v>4775.4507334345572</v>
      </c>
      <c r="AX72" s="174">
        <f>(AW72/AV72)-1</f>
        <v>6.760543975003519E-2</v>
      </c>
      <c r="AY72" s="174">
        <f>IF(AX72&lt;AY$78,AY$78-AX72,0)</f>
        <v>0</v>
      </c>
      <c r="AZ72" s="88">
        <f>IF(AX72&lt;AY$77,(AY$77-AX72)*AV72,0)</f>
        <v>0</v>
      </c>
      <c r="BA72" s="123">
        <f>SUM(BA61:BA71)</f>
        <v>0</v>
      </c>
      <c r="BB72" s="89">
        <f>SUM(BB61:BB71)</f>
        <v>43233479.376874581</v>
      </c>
      <c r="BC72" s="103"/>
      <c r="BD72" s="87">
        <f>SUM(BD61:BD71)</f>
        <v>40620722.644071214</v>
      </c>
      <c r="BE72" s="123">
        <f t="shared" ref="BE72" si="50">BD72/I72</f>
        <v>4701.4725282489835</v>
      </c>
      <c r="BF72" s="266">
        <f>SUM(BF61:BF71)</f>
        <v>43233479.376874581</v>
      </c>
      <c r="BG72" s="88">
        <f>BF72/SUM('TABLE 4 - October 2016 Dataset'!F72:H72)</f>
        <v>5003.8749278790028</v>
      </c>
      <c r="BH72" s="266">
        <f>SUM(BH61:BH71)</f>
        <v>2612756.7328033624</v>
      </c>
      <c r="BI72" s="88">
        <f t="shared" ref="BI72" si="51">BG72-BE72</f>
        <v>302.40239963001932</v>
      </c>
      <c r="BJ72" s="270">
        <f t="shared" ref="BJ72" si="52">BI72/BE72</f>
        <v>6.4320784140080065E-2</v>
      </c>
      <c r="BK72" s="103"/>
      <c r="BL72" s="87">
        <f>SUM(BL61:BL71)</f>
        <v>43120000</v>
      </c>
      <c r="BM72" s="90">
        <f>SUM(BM61:BM71)</f>
        <v>113000</v>
      </c>
    </row>
    <row r="73" spans="2:67" ht="4.5" customHeight="1" thickBot="1">
      <c r="B73" s="208"/>
      <c r="C73" s="92"/>
      <c r="D73" s="207"/>
      <c r="E73" s="92"/>
      <c r="F73" s="93"/>
      <c r="G73" s="110"/>
      <c r="H73" s="110"/>
      <c r="I73" s="94"/>
      <c r="J73" s="103"/>
      <c r="K73" s="93"/>
      <c r="L73" s="110"/>
      <c r="M73" s="110"/>
      <c r="N73" s="94"/>
      <c r="O73" s="103"/>
      <c r="P73" s="93"/>
      <c r="Q73" s="83"/>
      <c r="R73" s="124"/>
      <c r="S73" s="131"/>
      <c r="T73" s="83"/>
      <c r="U73" s="83"/>
      <c r="V73" s="83"/>
      <c r="W73" s="83"/>
      <c r="X73" s="83"/>
      <c r="Y73" s="83"/>
      <c r="Z73" s="83"/>
      <c r="AA73" s="83"/>
      <c r="AB73" s="131"/>
      <c r="AC73" s="131"/>
      <c r="AD73" s="131"/>
      <c r="AE73" s="131"/>
      <c r="AF73" s="131"/>
      <c r="AG73" s="131"/>
      <c r="AH73" s="131"/>
      <c r="AI73" s="131"/>
      <c r="AJ73" s="131"/>
      <c r="AK73" s="131"/>
      <c r="AL73" s="94"/>
      <c r="AM73" s="103"/>
      <c r="AN73" s="93"/>
      <c r="AO73" s="110"/>
      <c r="AP73" s="110"/>
      <c r="AQ73" s="110"/>
      <c r="AR73" s="94"/>
      <c r="AS73" s="103"/>
      <c r="AT73" s="93"/>
      <c r="AU73" s="110"/>
      <c r="AV73" s="110"/>
      <c r="AW73" s="110"/>
      <c r="AX73" s="110"/>
      <c r="AY73" s="110"/>
      <c r="AZ73" s="110"/>
      <c r="BA73" s="110"/>
      <c r="BB73" s="94"/>
      <c r="BC73" s="103"/>
      <c r="BD73" s="93"/>
      <c r="BE73" s="124"/>
      <c r="BF73" s="267"/>
      <c r="BG73" s="83"/>
      <c r="BH73" s="267"/>
      <c r="BI73" s="83"/>
      <c r="BJ73" s="95"/>
      <c r="BK73" s="103"/>
      <c r="BL73" s="93"/>
      <c r="BM73" s="95"/>
    </row>
    <row r="74" spans="2:67" s="104" customFormat="1" ht="17.25" thickTop="1" thickBot="1">
      <c r="B74" s="209"/>
      <c r="C74" s="96" t="s">
        <v>169</v>
      </c>
      <c r="D74" s="210"/>
      <c r="E74" s="86"/>
      <c r="F74" s="97">
        <f>SUM(F60,F72)</f>
        <v>22357</v>
      </c>
      <c r="G74" s="111">
        <f>SUM(G60,G72)</f>
        <v>33</v>
      </c>
      <c r="H74" s="111">
        <f>SUM(H60,H72)</f>
        <v>-28</v>
      </c>
      <c r="I74" s="99">
        <f>SUM(I60,I72)</f>
        <v>22362</v>
      </c>
      <c r="J74" s="103"/>
      <c r="K74" s="97">
        <f>SUM(K60,K72)</f>
        <v>88649127.657105714</v>
      </c>
      <c r="L74" s="111">
        <f>SUM(L60,L72)</f>
        <v>133356.36201000001</v>
      </c>
      <c r="M74" s="111">
        <f>SUM(M60,M72)</f>
        <v>88413.836666667019</v>
      </c>
      <c r="N74" s="99">
        <f>SUM(N60,N72)</f>
        <v>88870897.85578239</v>
      </c>
      <c r="O74" s="103"/>
      <c r="P74" s="97">
        <f>SUM(P60,P72)</f>
        <v>37694196.780000001</v>
      </c>
      <c r="Q74" s="98">
        <f t="shared" ref="Q74:AK74" si="53">SUM(Q60,Q72)</f>
        <v>20761743.750000004</v>
      </c>
      <c r="R74" s="125">
        <f t="shared" si="53"/>
        <v>14319669.65</v>
      </c>
      <c r="S74" s="132">
        <f t="shared" si="53"/>
        <v>72775610.180000007</v>
      </c>
      <c r="T74" s="98">
        <f t="shared" si="53"/>
        <v>755920.00000000047</v>
      </c>
      <c r="U74" s="98">
        <f t="shared" si="53"/>
        <v>2462935.3329359232</v>
      </c>
      <c r="V74" s="98">
        <f t="shared" si="53"/>
        <v>0</v>
      </c>
      <c r="W74" s="98">
        <f t="shared" si="53"/>
        <v>318377.16107654927</v>
      </c>
      <c r="X74" s="98">
        <f t="shared" si="53"/>
        <v>371864.06105155952</v>
      </c>
      <c r="Y74" s="98">
        <f t="shared" si="53"/>
        <v>460096.7299941688</v>
      </c>
      <c r="Z74" s="98">
        <f t="shared" si="53"/>
        <v>116329.57457691911</v>
      </c>
      <c r="AA74" s="98">
        <f t="shared" si="53"/>
        <v>506661.75375167548</v>
      </c>
      <c r="AB74" s="132">
        <f t="shared" si="53"/>
        <v>4992184.6133867959</v>
      </c>
      <c r="AC74" s="132">
        <f t="shared" si="53"/>
        <v>6855671.2694671266</v>
      </c>
      <c r="AD74" s="132">
        <f t="shared" si="53"/>
        <v>586717.73990178294</v>
      </c>
      <c r="AE74" s="132">
        <f t="shared" si="53"/>
        <v>51547.500000000131</v>
      </c>
      <c r="AF74" s="132">
        <f t="shared" si="53"/>
        <v>6490000</v>
      </c>
      <c r="AG74" s="132">
        <f t="shared" si="53"/>
        <v>0</v>
      </c>
      <c r="AH74" s="132">
        <f t="shared" si="53"/>
        <v>1722411.9300000002</v>
      </c>
      <c r="AI74" s="132">
        <f t="shared" si="53"/>
        <v>635191.99927499983</v>
      </c>
      <c r="AJ74" s="132">
        <f t="shared" si="53"/>
        <v>236412</v>
      </c>
      <c r="AK74" s="132">
        <f t="shared" si="53"/>
        <v>0</v>
      </c>
      <c r="AL74" s="99">
        <f>SUM(AL60,AL72)</f>
        <v>94345747.232030705</v>
      </c>
      <c r="AM74" s="103"/>
      <c r="AN74" s="97">
        <f>SUM(AN60,AN72)</f>
        <v>91751731.302755728</v>
      </c>
      <c r="AO74" s="167">
        <f>AN74/SUM('TABLE 4 - October 2016 Dataset'!F74:H74)</f>
        <v>4103.0199133689175</v>
      </c>
      <c r="AP74" s="167">
        <f>IF(AO74&lt;(AP$76*7/12+AP78*5/12),(AP$76*7/12+AP78*5/12)-AO74,0)</f>
        <v>0</v>
      </c>
      <c r="AQ74" s="167">
        <f>SUM(AQ60,AQ72)</f>
        <v>1582003.7836045087</v>
      </c>
      <c r="AR74" s="99">
        <f>SUM(AR60,AR72)</f>
        <v>95927751.015635222</v>
      </c>
      <c r="AS74" s="103"/>
      <c r="AT74" s="97">
        <f>SUM(AT60,AT72)</f>
        <v>80658485.925782368</v>
      </c>
      <c r="AU74" s="167">
        <f>SUM(AU60,AU72)</f>
        <v>87715339.08563523</v>
      </c>
      <c r="AV74" s="167">
        <f>AT74/I74</f>
        <v>3606.9441877194513</v>
      </c>
      <c r="AW74" s="167">
        <f>AU74/SUM('TABLE 4 - October 2016 Dataset'!F74:H74)</f>
        <v>3922.5176230048846</v>
      </c>
      <c r="AX74" s="176">
        <f>(AW74/AV74)-1</f>
        <v>8.7490523518457763E-2</v>
      </c>
      <c r="AY74" s="176">
        <f>IF(AX74&lt;AY$78,AY$78-AX74,0)</f>
        <v>0</v>
      </c>
      <c r="AZ74" s="167">
        <f>IF(AX74&lt;AY$77,(AY$77-AX74)*AV74,0)</f>
        <v>0</v>
      </c>
      <c r="BA74" s="167">
        <f>SUM(BA60,BA72)</f>
        <v>77234.573292396846</v>
      </c>
      <c r="BB74" s="99">
        <f>SUM(BB60,BB72)</f>
        <v>96004985.588927627</v>
      </c>
      <c r="BC74" s="103"/>
      <c r="BD74" s="97">
        <f>SUM(BD60,BD72)</f>
        <v>88870897.85578239</v>
      </c>
      <c r="BE74" s="125">
        <f t="shared" ref="BE74" si="54">BD74/I74</f>
        <v>3974.1927312307662</v>
      </c>
      <c r="BF74" s="268">
        <f>SUM(BF60,BF72)</f>
        <v>96004985.588927627</v>
      </c>
      <c r="BG74" s="98">
        <f>BF74/SUM('TABLE 4 - October 2016 Dataset'!F74:H74)</f>
        <v>4293.219997716109</v>
      </c>
      <c r="BH74" s="268">
        <f>SUM(BH60,BH72)</f>
        <v>7134087.7331452398</v>
      </c>
      <c r="BI74" s="98">
        <f t="shared" ref="BI74" si="55">BG74-BE74</f>
        <v>319.02726648534281</v>
      </c>
      <c r="BJ74" s="271">
        <f t="shared" ref="BJ74" si="56">BI74/BE74</f>
        <v>8.0274734533708272E-2</v>
      </c>
      <c r="BK74" s="103"/>
      <c r="BL74" s="97">
        <f>SUM(BL60,BL72)</f>
        <v>95927000</v>
      </c>
      <c r="BM74" s="100">
        <f>SUM(BM60,BM72)</f>
        <v>75000</v>
      </c>
    </row>
    <row r="75" spans="2:67" ht="16.5" thickTop="1" thickBot="1">
      <c r="F75" s="105"/>
      <c r="G75" s="103"/>
      <c r="H75" s="103"/>
      <c r="I75" s="103"/>
      <c r="J75" s="103"/>
      <c r="K75" s="105"/>
      <c r="L75" s="105"/>
      <c r="M75" s="103"/>
      <c r="N75" s="103"/>
      <c r="O75" s="103"/>
      <c r="P75" s="105"/>
      <c r="Q75" s="105"/>
      <c r="R75" s="105"/>
      <c r="S75" s="103"/>
      <c r="T75" s="105"/>
      <c r="U75" s="105"/>
      <c r="V75" s="105"/>
      <c r="W75" s="105"/>
      <c r="X75" s="105"/>
      <c r="Y75" s="105"/>
      <c r="Z75" s="105"/>
      <c r="AA75" s="105"/>
      <c r="AB75" s="103"/>
      <c r="AC75" s="105"/>
      <c r="AD75" s="105"/>
      <c r="AE75" s="105"/>
      <c r="AF75" s="105"/>
      <c r="AG75" s="105"/>
      <c r="AH75" s="105"/>
      <c r="AI75" s="105"/>
      <c r="AJ75" s="105"/>
      <c r="AK75" s="105"/>
      <c r="AL75" s="103"/>
      <c r="AM75" s="103"/>
      <c r="AN75" s="105"/>
      <c r="AO75" s="105"/>
      <c r="AP75" s="105"/>
      <c r="AQ75" s="103"/>
      <c r="AR75" s="103"/>
      <c r="AS75" s="103"/>
      <c r="AT75" s="105"/>
      <c r="AU75" s="105"/>
      <c r="AV75" s="105"/>
      <c r="AW75" s="105"/>
      <c r="AX75" s="105"/>
      <c r="AY75" s="105"/>
      <c r="AZ75" s="105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</row>
    <row r="76" spans="2:67" s="92" customFormat="1" ht="12.95" customHeight="1" thickTop="1">
      <c r="B76" s="426"/>
      <c r="C76" s="444" t="s">
        <v>278</v>
      </c>
      <c r="D76" s="445"/>
      <c r="F76" s="360"/>
      <c r="G76" s="361"/>
      <c r="H76" s="361"/>
      <c r="I76" s="362"/>
      <c r="J76" s="211"/>
      <c r="K76" s="360"/>
      <c r="L76" s="361"/>
      <c r="M76" s="361"/>
      <c r="N76" s="362"/>
      <c r="O76" s="211"/>
      <c r="P76" s="370">
        <v>2746.99</v>
      </c>
      <c r="Q76" s="374"/>
      <c r="R76" s="374"/>
      <c r="S76" s="378"/>
      <c r="T76" s="382">
        <v>440</v>
      </c>
      <c r="U76" s="382">
        <v>540</v>
      </c>
      <c r="V76" s="382">
        <v>575</v>
      </c>
      <c r="W76" s="382">
        <v>420</v>
      </c>
      <c r="X76" s="382">
        <v>390</v>
      </c>
      <c r="Y76" s="382">
        <v>360</v>
      </c>
      <c r="Z76" s="382">
        <v>240</v>
      </c>
      <c r="AA76" s="352">
        <v>200</v>
      </c>
      <c r="AB76" s="389"/>
      <c r="AC76" s="354">
        <v>1050</v>
      </c>
      <c r="AD76" s="354">
        <v>515</v>
      </c>
      <c r="AE76" s="354">
        <v>711</v>
      </c>
      <c r="AF76" s="385">
        <v>110000</v>
      </c>
      <c r="AG76" s="393" t="s">
        <v>277</v>
      </c>
      <c r="AH76" s="398" t="s">
        <v>217</v>
      </c>
      <c r="AI76" s="297">
        <f>ROUND(156*(2746.99/2383.54),2)</f>
        <v>179.79</v>
      </c>
      <c r="AJ76" s="354">
        <v>198</v>
      </c>
      <c r="AK76" s="408">
        <v>0</v>
      </c>
      <c r="AL76" s="412"/>
      <c r="AM76" s="211"/>
      <c r="AN76" s="416"/>
      <c r="AO76" s="396"/>
      <c r="AP76" s="356">
        <v>3500</v>
      </c>
      <c r="AQ76" s="405"/>
      <c r="AR76" s="421"/>
      <c r="AS76" s="211"/>
      <c r="AT76" s="416"/>
      <c r="AU76" s="423"/>
      <c r="AV76" s="423"/>
      <c r="AW76" s="423"/>
      <c r="AX76" s="423"/>
      <c r="AY76" s="424">
        <v>0.01</v>
      </c>
      <c r="AZ76" s="357"/>
      <c r="BA76" s="358"/>
      <c r="BB76" s="421"/>
      <c r="BC76" s="117"/>
      <c r="BD76" s="429"/>
      <c r="BE76" s="430"/>
      <c r="BF76" s="430"/>
      <c r="BG76" s="430"/>
      <c r="BH76" s="430"/>
      <c r="BI76" s="430"/>
      <c r="BJ76" s="431"/>
      <c r="BK76" s="117"/>
      <c r="BL76" s="438"/>
      <c r="BM76" s="439"/>
    </row>
    <row r="77" spans="2:67" s="201" customFormat="1" ht="6.6" customHeight="1">
      <c r="B77" s="427"/>
      <c r="C77" s="446"/>
      <c r="D77" s="447"/>
      <c r="E77" s="92"/>
      <c r="F77" s="363"/>
      <c r="G77" s="364"/>
      <c r="H77" s="364"/>
      <c r="I77" s="365"/>
      <c r="J77" s="211"/>
      <c r="K77" s="363"/>
      <c r="L77" s="364"/>
      <c r="M77" s="364"/>
      <c r="N77" s="365"/>
      <c r="O77" s="211"/>
      <c r="P77" s="371"/>
      <c r="Q77" s="375"/>
      <c r="R77" s="375"/>
      <c r="S77" s="379"/>
      <c r="T77" s="375"/>
      <c r="U77" s="375"/>
      <c r="V77" s="375"/>
      <c r="W77" s="375"/>
      <c r="X77" s="375"/>
      <c r="Y77" s="375"/>
      <c r="Z77" s="375"/>
      <c r="AA77" s="353"/>
      <c r="AB77" s="390"/>
      <c r="AC77" s="355"/>
      <c r="AD77" s="355"/>
      <c r="AE77" s="355"/>
      <c r="AF77" s="355"/>
      <c r="AG77" s="394"/>
      <c r="AH77" s="399"/>
      <c r="AI77" s="402">
        <f>ROUND(19862*(110000/150000),0)</f>
        <v>14565</v>
      </c>
      <c r="AJ77" s="355"/>
      <c r="AK77" s="409"/>
      <c r="AL77" s="413"/>
      <c r="AM77" s="211"/>
      <c r="AN77" s="417"/>
      <c r="AO77" s="353"/>
      <c r="AP77" s="353"/>
      <c r="AQ77" s="359"/>
      <c r="AR77" s="413"/>
      <c r="AS77" s="211"/>
      <c r="AT77" s="417"/>
      <c r="AU77" s="353"/>
      <c r="AV77" s="353"/>
      <c r="AW77" s="353"/>
      <c r="AX77" s="353"/>
      <c r="AY77" s="353"/>
      <c r="AZ77" s="353"/>
      <c r="BA77" s="359"/>
      <c r="BB77" s="413"/>
      <c r="BC77" s="117"/>
      <c r="BD77" s="432"/>
      <c r="BE77" s="433"/>
      <c r="BF77" s="433"/>
      <c r="BG77" s="433"/>
      <c r="BH77" s="433"/>
      <c r="BI77" s="433"/>
      <c r="BJ77" s="434"/>
      <c r="BK77" s="117"/>
      <c r="BL77" s="440"/>
      <c r="BM77" s="441"/>
    </row>
    <row r="78" spans="2:67" ht="6.6" customHeight="1">
      <c r="B78" s="427"/>
      <c r="C78" s="446" t="s">
        <v>279</v>
      </c>
      <c r="D78" s="447"/>
      <c r="E78" s="92"/>
      <c r="F78" s="366"/>
      <c r="G78" s="364"/>
      <c r="H78" s="364"/>
      <c r="I78" s="365"/>
      <c r="J78" s="211"/>
      <c r="K78" s="366"/>
      <c r="L78" s="364"/>
      <c r="M78" s="364"/>
      <c r="N78" s="365"/>
      <c r="O78" s="211"/>
      <c r="P78" s="462"/>
      <c r="Q78" s="376">
        <v>3862.65</v>
      </c>
      <c r="R78" s="376">
        <v>4385.8100000000004</v>
      </c>
      <c r="S78" s="380"/>
      <c r="T78" s="376">
        <v>440</v>
      </c>
      <c r="U78" s="376">
        <v>785</v>
      </c>
      <c r="V78" s="376">
        <v>810</v>
      </c>
      <c r="W78" s="376">
        <v>600</v>
      </c>
      <c r="X78" s="376">
        <v>560</v>
      </c>
      <c r="Y78" s="376">
        <v>515</v>
      </c>
      <c r="Z78" s="376">
        <v>390</v>
      </c>
      <c r="AA78" s="387">
        <v>290</v>
      </c>
      <c r="AB78" s="391"/>
      <c r="AC78" s="383">
        <v>1550</v>
      </c>
      <c r="AD78" s="383">
        <v>1385</v>
      </c>
      <c r="AE78" s="383">
        <v>711</v>
      </c>
      <c r="AF78" s="386">
        <v>110000</v>
      </c>
      <c r="AG78" s="394"/>
      <c r="AH78" s="400" t="s">
        <v>217</v>
      </c>
      <c r="AI78" s="403"/>
      <c r="AJ78" s="383">
        <v>198</v>
      </c>
      <c r="AK78" s="410">
        <v>0</v>
      </c>
      <c r="AL78" s="414"/>
      <c r="AM78" s="211"/>
      <c r="AN78" s="418"/>
      <c r="AO78" s="397"/>
      <c r="AP78" s="404">
        <v>4800</v>
      </c>
      <c r="AQ78" s="406"/>
      <c r="AR78" s="422"/>
      <c r="AS78" s="211"/>
      <c r="AT78" s="418"/>
      <c r="AU78" s="353"/>
      <c r="AV78" s="353"/>
      <c r="AW78" s="353"/>
      <c r="AX78" s="353"/>
      <c r="AY78" s="425">
        <v>0.01</v>
      </c>
      <c r="AZ78" s="420"/>
      <c r="BA78" s="359"/>
      <c r="BB78" s="422"/>
      <c r="BC78" s="117"/>
      <c r="BD78" s="432"/>
      <c r="BE78" s="433"/>
      <c r="BF78" s="433"/>
      <c r="BG78" s="433"/>
      <c r="BH78" s="433"/>
      <c r="BI78" s="433"/>
      <c r="BJ78" s="434"/>
      <c r="BK78" s="117"/>
      <c r="BL78" s="440"/>
      <c r="BM78" s="441"/>
    </row>
    <row r="79" spans="2:67" ht="12.95" customHeight="1" thickBot="1">
      <c r="B79" s="428"/>
      <c r="C79" s="448"/>
      <c r="D79" s="449"/>
      <c r="F79" s="367"/>
      <c r="G79" s="368"/>
      <c r="H79" s="368"/>
      <c r="I79" s="369"/>
      <c r="J79" s="212"/>
      <c r="K79" s="367"/>
      <c r="L79" s="368"/>
      <c r="M79" s="368"/>
      <c r="N79" s="369"/>
      <c r="O79" s="212"/>
      <c r="P79" s="463"/>
      <c r="Q79" s="377"/>
      <c r="R79" s="377"/>
      <c r="S79" s="381"/>
      <c r="T79" s="377"/>
      <c r="U79" s="377"/>
      <c r="V79" s="377"/>
      <c r="W79" s="377"/>
      <c r="X79" s="377"/>
      <c r="Y79" s="377"/>
      <c r="Z79" s="377"/>
      <c r="AA79" s="388"/>
      <c r="AB79" s="392"/>
      <c r="AC79" s="384"/>
      <c r="AD79" s="384"/>
      <c r="AE79" s="384"/>
      <c r="AF79" s="384"/>
      <c r="AG79" s="395"/>
      <c r="AH79" s="401"/>
      <c r="AI79" s="298">
        <v>3.5000000000000003E-2</v>
      </c>
      <c r="AJ79" s="384"/>
      <c r="AK79" s="411"/>
      <c r="AL79" s="415"/>
      <c r="AM79" s="212"/>
      <c r="AN79" s="419"/>
      <c r="AO79" s="388"/>
      <c r="AP79" s="388"/>
      <c r="AQ79" s="407"/>
      <c r="AR79" s="415"/>
      <c r="AS79" s="212"/>
      <c r="AT79" s="419"/>
      <c r="AU79" s="388"/>
      <c r="AV79" s="388"/>
      <c r="AW79" s="388"/>
      <c r="AX79" s="388"/>
      <c r="AY79" s="388"/>
      <c r="AZ79" s="388"/>
      <c r="BA79" s="407"/>
      <c r="BB79" s="415"/>
      <c r="BD79" s="435"/>
      <c r="BE79" s="436"/>
      <c r="BF79" s="436"/>
      <c r="BG79" s="436"/>
      <c r="BH79" s="436"/>
      <c r="BI79" s="436"/>
      <c r="BJ79" s="437"/>
      <c r="BL79" s="442"/>
      <c r="BM79" s="443"/>
    </row>
    <row r="80" spans="2:67" ht="17.25" thickTop="1" thickBot="1">
      <c r="F80" s="59"/>
      <c r="I80" s="117"/>
      <c r="P80" s="318" t="s">
        <v>356</v>
      </c>
      <c r="Q80" s="319" t="s">
        <v>357</v>
      </c>
      <c r="R80" s="319" t="s">
        <v>358</v>
      </c>
      <c r="S80" s="322"/>
      <c r="T80" s="319" t="s">
        <v>359</v>
      </c>
      <c r="U80" s="319" t="s">
        <v>360</v>
      </c>
      <c r="V80" s="319" t="s">
        <v>361</v>
      </c>
      <c r="W80" s="319" t="s">
        <v>362</v>
      </c>
      <c r="X80" s="319" t="s">
        <v>363</v>
      </c>
      <c r="Y80" s="319" t="s">
        <v>364</v>
      </c>
      <c r="Z80" s="319" t="s">
        <v>365</v>
      </c>
      <c r="AA80" s="319" t="s">
        <v>366</v>
      </c>
      <c r="AB80" s="322"/>
      <c r="AC80" s="320" t="s">
        <v>367</v>
      </c>
      <c r="AD80" s="320" t="s">
        <v>368</v>
      </c>
      <c r="AE80" s="320" t="s">
        <v>369</v>
      </c>
      <c r="AF80" s="320" t="s">
        <v>370</v>
      </c>
      <c r="AG80" s="320" t="s">
        <v>371</v>
      </c>
      <c r="AH80" s="320" t="s">
        <v>372</v>
      </c>
      <c r="AI80" s="321" t="s">
        <v>380</v>
      </c>
      <c r="AJ80" s="320" t="s">
        <v>373</v>
      </c>
      <c r="AK80" s="320" t="s">
        <v>374</v>
      </c>
      <c r="AL80" s="323"/>
      <c r="AP80" s="324" t="s">
        <v>375</v>
      </c>
      <c r="AY80" s="324" t="s">
        <v>376</v>
      </c>
    </row>
    <row r="81" spans="6:39" ht="16.5" thickTop="1">
      <c r="F81" s="59"/>
      <c r="I81" s="117"/>
    </row>
    <row r="82" spans="6:39" ht="15.75">
      <c r="F82" s="59"/>
      <c r="H82" s="101"/>
      <c r="I82" s="117"/>
      <c r="J82" s="101"/>
      <c r="AM82" s="101"/>
    </row>
    <row r="83" spans="6:39" ht="15.75">
      <c r="I83" s="117"/>
    </row>
    <row r="104" spans="7:7">
      <c r="G104" s="101"/>
    </row>
  </sheetData>
  <sheetProtection password="CDFC" sheet="1" objects="1" scenarios="1"/>
  <mergeCells count="98">
    <mergeCell ref="BD76:BJ77"/>
    <mergeCell ref="BL76:BM77"/>
    <mergeCell ref="BD78:BJ79"/>
    <mergeCell ref="BL78:BM79"/>
    <mergeCell ref="AR78:AR79"/>
    <mergeCell ref="AT78:AX79"/>
    <mergeCell ref="AY78:AY79"/>
    <mergeCell ref="AZ78:BA79"/>
    <mergeCell ref="BB78:BB79"/>
    <mergeCell ref="AR76:AR77"/>
    <mergeCell ref="AT76:AX77"/>
    <mergeCell ref="AY76:AY77"/>
    <mergeCell ref="AZ76:BA77"/>
    <mergeCell ref="BB76:BB77"/>
    <mergeCell ref="AL78:AL79"/>
    <mergeCell ref="AN78:AN79"/>
    <mergeCell ref="AO78:AO79"/>
    <mergeCell ref="AP78:AP79"/>
    <mergeCell ref="AQ78:AQ79"/>
    <mergeCell ref="AA78:AA79"/>
    <mergeCell ref="AB78:AB79"/>
    <mergeCell ref="AC78:AC79"/>
    <mergeCell ref="AD78:AD79"/>
    <mergeCell ref="AE78:AE79"/>
    <mergeCell ref="V78:V79"/>
    <mergeCell ref="W78:W79"/>
    <mergeCell ref="X78:X79"/>
    <mergeCell ref="Y78:Y79"/>
    <mergeCell ref="Z78:Z79"/>
    <mergeCell ref="Q78:Q79"/>
    <mergeCell ref="R78:R79"/>
    <mergeCell ref="S78:S79"/>
    <mergeCell ref="T78:T79"/>
    <mergeCell ref="U78:U79"/>
    <mergeCell ref="B78:B79"/>
    <mergeCell ref="C78:D79"/>
    <mergeCell ref="F78:I79"/>
    <mergeCell ref="K78:N79"/>
    <mergeCell ref="P78:P79"/>
    <mergeCell ref="AL76:AL77"/>
    <mergeCell ref="AN76:AN77"/>
    <mergeCell ref="AO76:AO77"/>
    <mergeCell ref="AP76:AP77"/>
    <mergeCell ref="AQ76:AQ77"/>
    <mergeCell ref="AF76:AF77"/>
    <mergeCell ref="AG76:AG79"/>
    <mergeCell ref="AH76:AH77"/>
    <mergeCell ref="AJ76:AJ77"/>
    <mergeCell ref="AK76:AK77"/>
    <mergeCell ref="AI77:AI78"/>
    <mergeCell ref="AF78:AF79"/>
    <mergeCell ref="AH78:AH79"/>
    <mergeCell ref="AJ78:AJ79"/>
    <mergeCell ref="AK78:AK79"/>
    <mergeCell ref="AA76:AA77"/>
    <mergeCell ref="AB76:AB77"/>
    <mergeCell ref="AC76:AC77"/>
    <mergeCell ref="AD76:AD77"/>
    <mergeCell ref="AE76:AE77"/>
    <mergeCell ref="V76:V77"/>
    <mergeCell ref="W76:W77"/>
    <mergeCell ref="X76:X77"/>
    <mergeCell ref="Y76:Y77"/>
    <mergeCell ref="Z76:Z77"/>
    <mergeCell ref="Q76:Q77"/>
    <mergeCell ref="R76:R77"/>
    <mergeCell ref="S76:S77"/>
    <mergeCell ref="T76:T77"/>
    <mergeCell ref="U76:U77"/>
    <mergeCell ref="B76:B77"/>
    <mergeCell ref="C76:D77"/>
    <mergeCell ref="F76:I77"/>
    <mergeCell ref="K76:N77"/>
    <mergeCell ref="P76:P77"/>
    <mergeCell ref="P3:S3"/>
    <mergeCell ref="T3:AB3"/>
    <mergeCell ref="AP3:AQ3"/>
    <mergeCell ref="AY3:BA3"/>
    <mergeCell ref="F2:I2"/>
    <mergeCell ref="K2:N2"/>
    <mergeCell ref="P2:AL2"/>
    <mergeCell ref="AN2:AR2"/>
    <mergeCell ref="AT2:BB2"/>
    <mergeCell ref="AY5:BA5"/>
    <mergeCell ref="BL2:BM2"/>
    <mergeCell ref="AP5:AQ5"/>
    <mergeCell ref="AP4:AQ4"/>
    <mergeCell ref="AY4:BA4"/>
    <mergeCell ref="BD2:BJ2"/>
    <mergeCell ref="BD3:BE3"/>
    <mergeCell ref="BF3:BG3"/>
    <mergeCell ref="BH3:BJ3"/>
    <mergeCell ref="BD4:BE4"/>
    <mergeCell ref="BF4:BG4"/>
    <mergeCell ref="BH4:BJ4"/>
    <mergeCell ref="BD5:BE5"/>
    <mergeCell ref="BF5:BG5"/>
    <mergeCell ref="BH5:BJ5"/>
  </mergeCells>
  <printOptions gridLines="1"/>
  <pageMargins left="0" right="0" top="0.39370078740157483" bottom="0.39370078740157483" header="0.11811023622047245" footer="0.11811023622047245"/>
  <pageSetup paperSize="8" scale="67" fitToWidth="3" orientation="landscape" r:id="rId1"/>
  <headerFooter>
    <oddHeader>&amp;C&amp;"Arial,Bold"&amp;12TABLE 3 - TARGET LEVEL ILLUSTRATIVE FUNDING ALLOCATIONS</oddHeader>
    <oddFooter>&amp;L&amp;"Arial,Regular"&amp;10&amp;Z&amp;F \ &amp;A&amp;C&amp;"-,Bold"&amp;12&amp;P of &amp;N&amp;R&amp;"Arial,Regular"&amp;10&amp;D / &amp;T</oddFooter>
  </headerFooter>
  <ignoredErrors>
    <ignoredError sqref="AJ9:AJ61 AO15 AO9:AQ14 AO16:AQ61 AP15:AQ15 AW9:AW70 AO63:AO70 AO62 AQ62 AQ63:AQ70" formulaRange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135"/>
  <sheetViews>
    <sheetView zoomScale="75" zoomScaleNormal="75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B2" sqref="B2"/>
    </sheetView>
  </sheetViews>
  <sheetFormatPr defaultRowHeight="15"/>
  <cols>
    <col min="1" max="1" width="0.85546875" style="1" customWidth="1"/>
    <col min="2" max="2" width="6.5703125" style="59" bestFit="1" customWidth="1"/>
    <col min="3" max="3" width="34.28515625" style="59" bestFit="1" customWidth="1"/>
    <col min="4" max="4" width="13.85546875" style="59" bestFit="1" customWidth="1"/>
    <col min="5" max="5" width="1.140625" style="60" customWidth="1"/>
    <col min="6" max="6" width="9.85546875" style="101" bestFit="1" customWidth="1"/>
    <col min="7" max="8" width="8.28515625" style="101" bestFit="1" customWidth="1"/>
    <col min="9" max="10" width="11.140625" style="101" bestFit="1" customWidth="1"/>
    <col min="11" max="11" width="9.28515625" style="101" bestFit="1" customWidth="1"/>
    <col min="12" max="13" width="9.42578125" style="101" bestFit="1" customWidth="1"/>
    <col min="14" max="14" width="11.140625" style="101" bestFit="1" customWidth="1"/>
    <col min="15" max="15" width="9.28515625" style="101" bestFit="1" customWidth="1"/>
    <col min="16" max="16" width="11.140625" style="102" bestFit="1" customWidth="1"/>
    <col min="17" max="17" width="13.140625" style="101" bestFit="1" customWidth="1"/>
    <col min="18" max="18" width="16.140625" style="101" bestFit="1" customWidth="1"/>
    <col min="19" max="19" width="9.7109375" style="101" bestFit="1" customWidth="1"/>
    <col min="20" max="20" width="11.5703125" style="101" customWidth="1"/>
    <col min="21" max="21" width="10.28515625" style="101" bestFit="1" customWidth="1"/>
    <col min="22" max="22" width="10.85546875" style="101" bestFit="1" customWidth="1"/>
    <col min="23" max="23" width="12.5703125" style="101" hidden="1" customWidth="1"/>
    <col min="24" max="24" width="9.28515625" style="101" bestFit="1" customWidth="1"/>
    <col min="25" max="25" width="12.5703125" style="101" bestFit="1" customWidth="1"/>
    <col min="26" max="26" width="10.5703125" style="101" customWidth="1"/>
    <col min="27" max="27" width="9" style="101" bestFit="1" customWidth="1"/>
    <col min="28" max="28" width="1.140625" style="102" customWidth="1"/>
    <col min="29" max="29" width="14.5703125" style="2" bestFit="1" customWidth="1"/>
    <col min="30" max="16384" width="9.140625" style="1"/>
  </cols>
  <sheetData>
    <row r="1" spans="2:30" ht="5.0999999999999996" customHeight="1" thickBot="1"/>
    <row r="2" spans="2:30" ht="16.5" thickTop="1">
      <c r="B2" s="62"/>
      <c r="C2" s="63"/>
      <c r="D2" s="197"/>
      <c r="F2" s="344" t="s">
        <v>187</v>
      </c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45"/>
    </row>
    <row r="3" spans="2:30" ht="15.75">
      <c r="B3" s="198"/>
      <c r="C3" s="60"/>
      <c r="D3" s="70" t="s">
        <v>16</v>
      </c>
      <c r="F3" s="337" t="s">
        <v>183</v>
      </c>
      <c r="G3" s="335"/>
      <c r="H3" s="336"/>
      <c r="I3" s="334" t="s">
        <v>188</v>
      </c>
      <c r="J3" s="335"/>
      <c r="K3" s="335"/>
      <c r="L3" s="335"/>
      <c r="M3" s="335"/>
      <c r="N3" s="335"/>
      <c r="O3" s="335"/>
      <c r="P3" s="336"/>
      <c r="Q3" s="136" t="s">
        <v>200</v>
      </c>
      <c r="R3" s="136" t="s">
        <v>203</v>
      </c>
      <c r="S3" s="136" t="s">
        <v>176</v>
      </c>
      <c r="T3" s="473" t="s">
        <v>284</v>
      </c>
      <c r="U3" s="474"/>
      <c r="V3" s="474"/>
      <c r="W3" s="474"/>
      <c r="X3" s="475"/>
      <c r="Y3" s="168" t="s">
        <v>141</v>
      </c>
      <c r="Z3" s="168" t="s">
        <v>141</v>
      </c>
      <c r="AA3" s="151" t="s">
        <v>215</v>
      </c>
    </row>
    <row r="4" spans="2:30" ht="15.75">
      <c r="B4" s="199" t="s">
        <v>162</v>
      </c>
      <c r="C4" s="61"/>
      <c r="D4" s="70" t="s">
        <v>14</v>
      </c>
      <c r="F4" s="67" t="s">
        <v>153</v>
      </c>
      <c r="G4" s="69" t="s">
        <v>185</v>
      </c>
      <c r="H4" s="119" t="s">
        <v>186</v>
      </c>
      <c r="I4" s="126" t="s">
        <v>190</v>
      </c>
      <c r="J4" s="66" t="s">
        <v>190</v>
      </c>
      <c r="K4" s="66" t="s">
        <v>193</v>
      </c>
      <c r="L4" s="113" t="s">
        <v>193</v>
      </c>
      <c r="M4" s="113" t="s">
        <v>193</v>
      </c>
      <c r="N4" s="113" t="s">
        <v>193</v>
      </c>
      <c r="O4" s="65" t="s">
        <v>193</v>
      </c>
      <c r="P4" s="114" t="s">
        <v>193</v>
      </c>
      <c r="Q4" s="137" t="s">
        <v>201</v>
      </c>
      <c r="R4" s="137" t="s">
        <v>204</v>
      </c>
      <c r="S4" s="137" t="s">
        <v>5</v>
      </c>
      <c r="T4" s="334" t="s">
        <v>264</v>
      </c>
      <c r="U4" s="336"/>
      <c r="V4" s="137" t="s">
        <v>266</v>
      </c>
      <c r="W4" s="286" t="s">
        <v>266</v>
      </c>
      <c r="X4" s="138" t="s">
        <v>225</v>
      </c>
      <c r="Y4" s="137" t="s">
        <v>210</v>
      </c>
      <c r="Z4" s="138" t="s">
        <v>161</v>
      </c>
      <c r="AA4" s="152" t="s">
        <v>222</v>
      </c>
    </row>
    <row r="5" spans="2:30" ht="15.75">
      <c r="B5" s="199" t="s">
        <v>164</v>
      </c>
      <c r="C5" s="61" t="s">
        <v>165</v>
      </c>
      <c r="D5" s="70" t="s">
        <v>17</v>
      </c>
      <c r="E5" s="61"/>
      <c r="F5" s="67" t="s">
        <v>184</v>
      </c>
      <c r="G5" s="69" t="s">
        <v>184</v>
      </c>
      <c r="H5" s="119" t="s">
        <v>184</v>
      </c>
      <c r="I5" s="69" t="s">
        <v>191</v>
      </c>
      <c r="J5" s="69" t="s">
        <v>192</v>
      </c>
      <c r="K5" s="69" t="s">
        <v>194</v>
      </c>
      <c r="L5" s="69" t="s">
        <v>195</v>
      </c>
      <c r="M5" s="69" t="s">
        <v>196</v>
      </c>
      <c r="N5" s="69" t="s">
        <v>197</v>
      </c>
      <c r="O5" s="68" t="s">
        <v>198</v>
      </c>
      <c r="P5" s="133" t="s">
        <v>199</v>
      </c>
      <c r="Q5" s="137" t="s">
        <v>202</v>
      </c>
      <c r="R5" s="137" t="s">
        <v>205</v>
      </c>
      <c r="S5" s="137" t="s">
        <v>206</v>
      </c>
      <c r="T5" s="137" t="s">
        <v>265</v>
      </c>
      <c r="U5" s="137" t="s">
        <v>266</v>
      </c>
      <c r="V5" s="137" t="s">
        <v>267</v>
      </c>
      <c r="W5" s="286" t="s">
        <v>267</v>
      </c>
      <c r="X5" s="137" t="s">
        <v>226</v>
      </c>
      <c r="Y5" s="137" t="s">
        <v>211</v>
      </c>
      <c r="Z5" s="137" t="s">
        <v>280</v>
      </c>
      <c r="AA5" s="153" t="s">
        <v>223</v>
      </c>
    </row>
    <row r="6" spans="2:30" ht="15.75">
      <c r="B6" s="200"/>
      <c r="C6" s="201"/>
      <c r="D6" s="202"/>
      <c r="E6" s="61"/>
      <c r="F6" s="67" t="s">
        <v>171</v>
      </c>
      <c r="G6" s="69" t="s">
        <v>171</v>
      </c>
      <c r="H6" s="119" t="s">
        <v>171</v>
      </c>
      <c r="I6" s="69" t="s">
        <v>171</v>
      </c>
      <c r="J6" s="69" t="s">
        <v>171</v>
      </c>
      <c r="K6" s="69" t="s">
        <v>171</v>
      </c>
      <c r="L6" s="69" t="s">
        <v>171</v>
      </c>
      <c r="M6" s="69" t="s">
        <v>171</v>
      </c>
      <c r="N6" s="69" t="s">
        <v>171</v>
      </c>
      <c r="O6" s="69" t="s">
        <v>171</v>
      </c>
      <c r="P6" s="119" t="s">
        <v>171</v>
      </c>
      <c r="Q6" s="137" t="s">
        <v>171</v>
      </c>
      <c r="R6" s="137" t="s">
        <v>171</v>
      </c>
      <c r="S6" s="137" t="s">
        <v>171</v>
      </c>
      <c r="T6" s="137" t="s">
        <v>164</v>
      </c>
      <c r="U6" s="137" t="s">
        <v>171</v>
      </c>
      <c r="V6" s="137" t="s">
        <v>268</v>
      </c>
      <c r="W6" s="286" t="s">
        <v>159</v>
      </c>
      <c r="X6" s="138" t="s">
        <v>224</v>
      </c>
      <c r="Y6" s="137" t="s">
        <v>0</v>
      </c>
      <c r="Z6" s="138" t="s">
        <v>0</v>
      </c>
      <c r="AA6" s="152" t="s">
        <v>224</v>
      </c>
    </row>
    <row r="7" spans="2:30" s="314" customFormat="1" ht="15.75">
      <c r="B7" s="310"/>
      <c r="C7" s="311"/>
      <c r="D7" s="312"/>
      <c r="E7" s="309"/>
      <c r="F7" s="299" t="s">
        <v>285</v>
      </c>
      <c r="G7" s="306" t="s">
        <v>286</v>
      </c>
      <c r="H7" s="307" t="s">
        <v>287</v>
      </c>
      <c r="I7" s="306" t="s">
        <v>288</v>
      </c>
      <c r="J7" s="306" t="s">
        <v>289</v>
      </c>
      <c r="K7" s="306" t="s">
        <v>290</v>
      </c>
      <c r="L7" s="306" t="s">
        <v>291</v>
      </c>
      <c r="M7" s="306" t="s">
        <v>292</v>
      </c>
      <c r="N7" s="306" t="s">
        <v>293</v>
      </c>
      <c r="O7" s="306" t="s">
        <v>294</v>
      </c>
      <c r="P7" s="307" t="s">
        <v>296</v>
      </c>
      <c r="Q7" s="308" t="s">
        <v>295</v>
      </c>
      <c r="R7" s="308" t="s">
        <v>297</v>
      </c>
      <c r="S7" s="308" t="s">
        <v>298</v>
      </c>
      <c r="T7" s="308" t="s">
        <v>299</v>
      </c>
      <c r="U7" s="308" t="s">
        <v>300</v>
      </c>
      <c r="V7" s="308" t="s">
        <v>301</v>
      </c>
      <c r="W7" s="308"/>
      <c r="X7" s="308" t="s">
        <v>302</v>
      </c>
      <c r="Y7" s="308" t="s">
        <v>303</v>
      </c>
      <c r="Z7" s="308" t="s">
        <v>304</v>
      </c>
      <c r="AA7" s="316" t="s">
        <v>305</v>
      </c>
      <c r="AB7" s="313"/>
      <c r="AC7" s="315"/>
    </row>
    <row r="8" spans="2:30" ht="24.95" customHeight="1">
      <c r="B8" s="198"/>
      <c r="C8" s="75" t="s">
        <v>166</v>
      </c>
      <c r="D8" s="203"/>
      <c r="E8" s="75"/>
      <c r="F8" s="76"/>
      <c r="G8" s="77"/>
      <c r="H8" s="121"/>
      <c r="I8" s="77"/>
      <c r="J8" s="77"/>
      <c r="K8" s="77"/>
      <c r="L8" s="77"/>
      <c r="M8" s="77"/>
      <c r="N8" s="77"/>
      <c r="O8" s="107"/>
      <c r="P8" s="134"/>
      <c r="Q8" s="139"/>
      <c r="R8" s="139"/>
      <c r="S8" s="139"/>
      <c r="T8" s="139"/>
      <c r="U8" s="139"/>
      <c r="V8" s="139"/>
      <c r="W8" s="287"/>
      <c r="X8" s="139"/>
      <c r="Y8" s="139"/>
      <c r="Z8" s="139"/>
      <c r="AA8" s="78"/>
      <c r="AB8" s="103"/>
      <c r="AD8" s="2"/>
    </row>
    <row r="9" spans="2:30">
      <c r="B9" s="198">
        <v>2000</v>
      </c>
      <c r="C9" s="60" t="s">
        <v>9</v>
      </c>
      <c r="D9" s="204"/>
      <c r="F9" s="80">
        <v>293</v>
      </c>
      <c r="G9" s="160"/>
      <c r="H9" s="161"/>
      <c r="I9" s="142">
        <v>9.9999999999999982</v>
      </c>
      <c r="J9" s="142">
        <v>25.721374045801525</v>
      </c>
      <c r="K9" s="142">
        <v>0</v>
      </c>
      <c r="L9" s="142">
        <v>0</v>
      </c>
      <c r="M9" s="142">
        <v>25.999999999999996</v>
      </c>
      <c r="N9" s="142">
        <v>9.0000000000000124</v>
      </c>
      <c r="O9" s="142">
        <v>0</v>
      </c>
      <c r="P9" s="143">
        <v>25.999999999999996</v>
      </c>
      <c r="Q9" s="144">
        <v>62.875152625152666</v>
      </c>
      <c r="R9" s="144">
        <v>6.2606837606837695</v>
      </c>
      <c r="S9" s="144">
        <v>0</v>
      </c>
      <c r="T9" s="144">
        <v>7</v>
      </c>
      <c r="U9" s="144">
        <f>SUM(F9:H9)/T9</f>
        <v>41.857142857142854</v>
      </c>
      <c r="V9" s="144">
        <v>0.31125119114583299</v>
      </c>
      <c r="W9" s="288">
        <f>V9*SUM(F9:H9)</f>
        <v>91.19659900572907</v>
      </c>
      <c r="X9" s="284" t="str">
        <f>IF(AND(U9&lt;=U$76,V9&gt;=V$76),"Yes","No")</f>
        <v>No</v>
      </c>
      <c r="Y9" s="140">
        <v>29040</v>
      </c>
      <c r="Z9" s="169"/>
      <c r="AA9" s="154" t="s">
        <v>15</v>
      </c>
      <c r="AB9" s="103"/>
      <c r="AD9" s="2"/>
    </row>
    <row r="10" spans="2:30">
      <c r="B10" s="198">
        <v>3229</v>
      </c>
      <c r="C10" s="60" t="s">
        <v>11</v>
      </c>
      <c r="D10" s="204"/>
      <c r="F10" s="80">
        <v>248</v>
      </c>
      <c r="G10" s="160"/>
      <c r="H10" s="161"/>
      <c r="I10" s="142">
        <v>7.9999999999999911</v>
      </c>
      <c r="J10" s="142">
        <v>17</v>
      </c>
      <c r="K10" s="142">
        <v>0</v>
      </c>
      <c r="L10" s="142">
        <v>0</v>
      </c>
      <c r="M10" s="142">
        <v>2.0080971659919018</v>
      </c>
      <c r="N10" s="142">
        <v>0</v>
      </c>
      <c r="O10" s="142">
        <v>0</v>
      </c>
      <c r="P10" s="143">
        <v>1.004048582995952</v>
      </c>
      <c r="Q10" s="144">
        <v>69.067466266866603</v>
      </c>
      <c r="R10" s="144">
        <v>0</v>
      </c>
      <c r="S10" s="144">
        <v>0</v>
      </c>
      <c r="T10" s="144">
        <v>4</v>
      </c>
      <c r="U10" s="144">
        <f t="shared" ref="U10:U60" si="0">SUM(F10:H10)/T10</f>
        <v>62</v>
      </c>
      <c r="V10" s="144">
        <v>1.17427403280423</v>
      </c>
      <c r="W10" s="288">
        <f t="shared" ref="W10:W58" si="1">V10*SUM(F10:H10)</f>
        <v>291.21996013544907</v>
      </c>
      <c r="X10" s="284" t="str">
        <f t="shared" ref="X10:X58" si="2">IF(AND(U10&lt;=U$76,V10&gt;=V$76),"Yes","No")</f>
        <v>No</v>
      </c>
      <c r="Y10" s="140">
        <v>12225.55</v>
      </c>
      <c r="Z10" s="169"/>
      <c r="AA10" s="154" t="s">
        <v>15</v>
      </c>
      <c r="AB10" s="103"/>
      <c r="AD10" s="2"/>
    </row>
    <row r="11" spans="2:30">
      <c r="B11" s="198">
        <v>2431</v>
      </c>
      <c r="C11" s="60" t="s">
        <v>13</v>
      </c>
      <c r="D11" s="204" t="s">
        <v>70</v>
      </c>
      <c r="F11" s="80">
        <v>194</v>
      </c>
      <c r="G11" s="160"/>
      <c r="H11" s="161"/>
      <c r="I11" s="142">
        <v>24.999999999999943</v>
      </c>
      <c r="J11" s="142">
        <v>32.830769230769235</v>
      </c>
      <c r="K11" s="142">
        <v>0</v>
      </c>
      <c r="L11" s="142">
        <v>7.0362694300518198</v>
      </c>
      <c r="M11" s="142">
        <v>0</v>
      </c>
      <c r="N11" s="142">
        <v>1.0051813471502595</v>
      </c>
      <c r="O11" s="142">
        <v>2.0103626943005115</v>
      </c>
      <c r="P11" s="143">
        <v>58.300518134715041</v>
      </c>
      <c r="Q11" s="144">
        <v>52.215461766407728</v>
      </c>
      <c r="R11" s="144">
        <v>24.106508875739685</v>
      </c>
      <c r="S11" s="144">
        <v>6.5999999999999925</v>
      </c>
      <c r="T11" s="144">
        <v>7</v>
      </c>
      <c r="U11" s="144">
        <f t="shared" si="0"/>
        <v>27.714285714285715</v>
      </c>
      <c r="V11" s="144">
        <v>0.41486165466666702</v>
      </c>
      <c r="W11" s="288">
        <f t="shared" si="1"/>
        <v>80.4831610053334</v>
      </c>
      <c r="X11" s="284" t="str">
        <f t="shared" si="2"/>
        <v>No</v>
      </c>
      <c r="Y11" s="140">
        <v>2103.9299999999998</v>
      </c>
      <c r="Z11" s="169"/>
      <c r="AA11" s="154" t="s">
        <v>15</v>
      </c>
      <c r="AB11" s="103"/>
      <c r="AD11" s="2"/>
    </row>
    <row r="12" spans="2:30">
      <c r="B12" s="198">
        <v>2386</v>
      </c>
      <c r="C12" s="60" t="s">
        <v>18</v>
      </c>
      <c r="D12" s="204"/>
      <c r="F12" s="80">
        <v>171</v>
      </c>
      <c r="G12" s="160"/>
      <c r="H12" s="161"/>
      <c r="I12" s="142">
        <v>2.9999999999999987</v>
      </c>
      <c r="J12" s="142">
        <v>5.7426672574213526</v>
      </c>
      <c r="K12" s="142">
        <v>0</v>
      </c>
      <c r="L12" s="142">
        <v>0</v>
      </c>
      <c r="M12" s="142">
        <v>0</v>
      </c>
      <c r="N12" s="142">
        <v>0</v>
      </c>
      <c r="O12" s="142">
        <v>0</v>
      </c>
      <c r="P12" s="143">
        <v>1.9999999999999933</v>
      </c>
      <c r="Q12" s="144">
        <v>34.200000000000003</v>
      </c>
      <c r="R12" s="144">
        <v>5.3858267716535453</v>
      </c>
      <c r="S12" s="144">
        <v>0</v>
      </c>
      <c r="T12" s="144">
        <v>3</v>
      </c>
      <c r="U12" s="144">
        <f t="shared" si="0"/>
        <v>57</v>
      </c>
      <c r="V12" s="144">
        <v>1.1205785535714301</v>
      </c>
      <c r="W12" s="288">
        <f t="shared" si="1"/>
        <v>191.61893266071453</v>
      </c>
      <c r="X12" s="284" t="str">
        <f t="shared" si="2"/>
        <v>No</v>
      </c>
      <c r="Y12" s="140">
        <v>9524.5499999999993</v>
      </c>
      <c r="Z12" s="169"/>
      <c r="AA12" s="154" t="s">
        <v>15</v>
      </c>
      <c r="AB12" s="103"/>
      <c r="AD12" s="2"/>
    </row>
    <row r="13" spans="2:30">
      <c r="B13" s="198">
        <v>2024</v>
      </c>
      <c r="C13" s="60" t="s">
        <v>19</v>
      </c>
      <c r="D13" s="204" t="s">
        <v>71</v>
      </c>
      <c r="F13" s="80">
        <v>160</v>
      </c>
      <c r="G13" s="160"/>
      <c r="H13" s="161"/>
      <c r="I13" s="142">
        <v>32</v>
      </c>
      <c r="J13" s="142">
        <v>75.897435897435898</v>
      </c>
      <c r="K13" s="142">
        <v>0</v>
      </c>
      <c r="L13" s="142">
        <v>45</v>
      </c>
      <c r="M13" s="142">
        <v>4</v>
      </c>
      <c r="N13" s="142">
        <v>42</v>
      </c>
      <c r="O13" s="142">
        <v>0</v>
      </c>
      <c r="P13" s="143">
        <v>58</v>
      </c>
      <c r="Q13" s="144">
        <v>66.782183374470662</v>
      </c>
      <c r="R13" s="144">
        <v>12.307692307692303</v>
      </c>
      <c r="S13" s="144">
        <v>0.99999999999999867</v>
      </c>
      <c r="T13" s="144">
        <v>7</v>
      </c>
      <c r="U13" s="144">
        <f t="shared" si="0"/>
        <v>22.857142857142858</v>
      </c>
      <c r="V13" s="144">
        <v>0.39964443119266102</v>
      </c>
      <c r="W13" s="288">
        <f t="shared" si="1"/>
        <v>63.943108990825763</v>
      </c>
      <c r="X13" s="284" t="str">
        <f t="shared" si="2"/>
        <v>No</v>
      </c>
      <c r="Y13" s="140">
        <v>4406.88</v>
      </c>
      <c r="Z13" s="169"/>
      <c r="AA13" s="154" t="s">
        <v>15</v>
      </c>
      <c r="AB13" s="103"/>
      <c r="AD13" s="2"/>
    </row>
    <row r="14" spans="2:30">
      <c r="B14" s="198">
        <v>2003</v>
      </c>
      <c r="C14" s="60" t="s">
        <v>20</v>
      </c>
      <c r="D14" s="204"/>
      <c r="F14" s="80">
        <v>250</v>
      </c>
      <c r="G14" s="160"/>
      <c r="H14" s="161"/>
      <c r="I14" s="142">
        <v>27</v>
      </c>
      <c r="J14" s="142">
        <v>47.071129707112966</v>
      </c>
      <c r="K14" s="142">
        <v>0</v>
      </c>
      <c r="L14" s="142">
        <v>1.0040160642570275</v>
      </c>
      <c r="M14" s="142">
        <v>62.24899598393575</v>
      </c>
      <c r="N14" s="142">
        <v>12.04819277108435</v>
      </c>
      <c r="O14" s="142">
        <v>0</v>
      </c>
      <c r="P14" s="143">
        <v>7.0281124497991998</v>
      </c>
      <c r="Q14" s="144">
        <v>73.899371069182493</v>
      </c>
      <c r="R14" s="144">
        <v>10.802469135802475</v>
      </c>
      <c r="S14" s="144">
        <v>0</v>
      </c>
      <c r="T14" s="144">
        <v>3</v>
      </c>
      <c r="U14" s="144">
        <f t="shared" si="0"/>
        <v>83.333333333333329</v>
      </c>
      <c r="V14" s="144">
        <v>0.65574676676136401</v>
      </c>
      <c r="W14" s="288">
        <f t="shared" si="1"/>
        <v>163.93669169034101</v>
      </c>
      <c r="X14" s="284" t="str">
        <f t="shared" si="2"/>
        <v>No</v>
      </c>
      <c r="Y14" s="140">
        <v>10803.97</v>
      </c>
      <c r="Z14" s="169"/>
      <c r="AA14" s="154" t="s">
        <v>15</v>
      </c>
      <c r="AB14" s="103"/>
      <c r="AD14" s="2"/>
    </row>
    <row r="15" spans="2:30">
      <c r="B15" s="198">
        <v>2002</v>
      </c>
      <c r="C15" s="60" t="s">
        <v>21</v>
      </c>
      <c r="D15" s="204"/>
      <c r="F15" s="80">
        <v>281</v>
      </c>
      <c r="G15" s="160"/>
      <c r="H15" s="161"/>
      <c r="I15" s="142">
        <v>47.999999999999915</v>
      </c>
      <c r="J15" s="142">
        <v>83.769811320754712</v>
      </c>
      <c r="K15" s="142">
        <v>0</v>
      </c>
      <c r="L15" s="142">
        <v>1.007168458781361</v>
      </c>
      <c r="M15" s="142">
        <v>81.580645161290235</v>
      </c>
      <c r="N15" s="142">
        <v>13.093189964157693</v>
      </c>
      <c r="O15" s="142">
        <v>1.007168458781361</v>
      </c>
      <c r="P15" s="143">
        <v>10.071684587813611</v>
      </c>
      <c r="Q15" s="144">
        <v>103.13281249999996</v>
      </c>
      <c r="R15" s="144">
        <v>7.0000000000000133</v>
      </c>
      <c r="S15" s="144">
        <v>0</v>
      </c>
      <c r="T15" s="144">
        <v>4</v>
      </c>
      <c r="U15" s="144">
        <f t="shared" si="0"/>
        <v>70.25</v>
      </c>
      <c r="V15" s="144">
        <v>0.64014041733615201</v>
      </c>
      <c r="W15" s="288">
        <f t="shared" si="1"/>
        <v>179.8794572714587</v>
      </c>
      <c r="X15" s="284" t="str">
        <f t="shared" si="2"/>
        <v>No</v>
      </c>
      <c r="Y15" s="140">
        <v>13136.38</v>
      </c>
      <c r="Z15" s="169"/>
      <c r="AA15" s="154" t="s">
        <v>15</v>
      </c>
      <c r="AB15" s="103"/>
      <c r="AD15" s="2"/>
    </row>
    <row r="16" spans="2:30">
      <c r="B16" s="198">
        <v>2018</v>
      </c>
      <c r="C16" s="60" t="s">
        <v>22</v>
      </c>
      <c r="D16" s="204"/>
      <c r="F16" s="80">
        <v>386</v>
      </c>
      <c r="G16" s="160"/>
      <c r="H16" s="161"/>
      <c r="I16" s="142">
        <v>82.999999999999886</v>
      </c>
      <c r="J16" s="142">
        <v>141.49865229110512</v>
      </c>
      <c r="K16" s="142">
        <v>0</v>
      </c>
      <c r="L16" s="142">
        <v>122.63541666666653</v>
      </c>
      <c r="M16" s="142">
        <v>4.0208333333333464</v>
      </c>
      <c r="N16" s="142">
        <v>82.427083333333456</v>
      </c>
      <c r="O16" s="142">
        <v>0</v>
      </c>
      <c r="P16" s="143">
        <v>52.270833333333456</v>
      </c>
      <c r="Q16" s="144">
        <v>161.15567123444933</v>
      </c>
      <c r="R16" s="144">
        <v>43.525222551928799</v>
      </c>
      <c r="S16" s="144">
        <v>15.400000000000071</v>
      </c>
      <c r="T16" s="144">
        <v>7</v>
      </c>
      <c r="U16" s="144">
        <f t="shared" si="0"/>
        <v>55.142857142857146</v>
      </c>
      <c r="V16" s="144">
        <v>0.49271709504273498</v>
      </c>
      <c r="W16" s="288">
        <f t="shared" si="1"/>
        <v>190.18879868649569</v>
      </c>
      <c r="X16" s="284" t="str">
        <f t="shared" si="2"/>
        <v>No</v>
      </c>
      <c r="Y16" s="140">
        <v>18764.79</v>
      </c>
      <c r="Z16" s="169"/>
      <c r="AA16" s="154" t="s">
        <v>15</v>
      </c>
      <c r="AB16" s="103"/>
      <c r="AD16" s="2"/>
    </row>
    <row r="17" spans="2:30">
      <c r="B17" s="198">
        <v>2430</v>
      </c>
      <c r="C17" s="60" t="s">
        <v>23</v>
      </c>
      <c r="D17" s="204" t="s">
        <v>70</v>
      </c>
      <c r="F17" s="80">
        <v>603</v>
      </c>
      <c r="G17" s="160"/>
      <c r="H17" s="161"/>
      <c r="I17" s="142">
        <v>17.000000000000021</v>
      </c>
      <c r="J17" s="142">
        <v>38.706081081081081</v>
      </c>
      <c r="K17" s="142">
        <v>0</v>
      </c>
      <c r="L17" s="142">
        <v>16.242424242424221</v>
      </c>
      <c r="M17" s="142">
        <v>0</v>
      </c>
      <c r="N17" s="142">
        <v>14.212121212121231</v>
      </c>
      <c r="O17" s="142">
        <v>2.0303030303030321</v>
      </c>
      <c r="P17" s="143">
        <v>4.0606060606060588</v>
      </c>
      <c r="Q17" s="144">
        <v>152.72910275689227</v>
      </c>
      <c r="R17" s="144">
        <v>28.265625</v>
      </c>
      <c r="S17" s="144">
        <v>0</v>
      </c>
      <c r="T17" s="144">
        <v>7</v>
      </c>
      <c r="U17" s="144">
        <f t="shared" si="0"/>
        <v>86.142857142857139</v>
      </c>
      <c r="V17" s="144">
        <v>0.61255754469387702</v>
      </c>
      <c r="W17" s="288">
        <f t="shared" si="1"/>
        <v>369.37219945040783</v>
      </c>
      <c r="X17" s="284" t="str">
        <f t="shared" si="2"/>
        <v>No</v>
      </c>
      <c r="Y17" s="140">
        <v>72708.84</v>
      </c>
      <c r="Z17" s="169"/>
      <c r="AA17" s="154" t="s">
        <v>15</v>
      </c>
      <c r="AB17" s="103"/>
      <c r="AD17" s="2"/>
    </row>
    <row r="18" spans="2:30">
      <c r="B18" s="198">
        <v>2013</v>
      </c>
      <c r="C18" s="60" t="s">
        <v>24</v>
      </c>
      <c r="D18" s="204"/>
      <c r="F18" s="80">
        <v>396</v>
      </c>
      <c r="G18" s="160"/>
      <c r="H18" s="161"/>
      <c r="I18" s="142">
        <v>3.9999999999999996</v>
      </c>
      <c r="J18" s="142">
        <v>19.555555555555554</v>
      </c>
      <c r="K18" s="142">
        <v>0</v>
      </c>
      <c r="L18" s="142">
        <v>0</v>
      </c>
      <c r="M18" s="142">
        <v>0</v>
      </c>
      <c r="N18" s="142">
        <v>3.0000000000000018</v>
      </c>
      <c r="O18" s="142">
        <v>0</v>
      </c>
      <c r="P18" s="143">
        <v>6.0000000000000195</v>
      </c>
      <c r="Q18" s="144">
        <v>87.414753004005291</v>
      </c>
      <c r="R18" s="144">
        <v>2.3641791044776106</v>
      </c>
      <c r="S18" s="144">
        <v>0</v>
      </c>
      <c r="T18" s="144">
        <v>7</v>
      </c>
      <c r="U18" s="144">
        <f t="shared" si="0"/>
        <v>56.571428571428569</v>
      </c>
      <c r="V18" s="144">
        <v>1.48303450181269</v>
      </c>
      <c r="W18" s="288">
        <f t="shared" si="1"/>
        <v>587.28166271782527</v>
      </c>
      <c r="X18" s="284" t="str">
        <f t="shared" si="2"/>
        <v>No</v>
      </c>
      <c r="Y18" s="140">
        <v>20044.21</v>
      </c>
      <c r="Z18" s="169"/>
      <c r="AA18" s="154" t="s">
        <v>15</v>
      </c>
      <c r="AB18" s="103"/>
      <c r="AD18" s="2"/>
    </row>
    <row r="19" spans="2:30">
      <c r="B19" s="198">
        <v>2007</v>
      </c>
      <c r="C19" s="60" t="s">
        <v>25</v>
      </c>
      <c r="D19" s="204"/>
      <c r="F19" s="80">
        <v>290</v>
      </c>
      <c r="G19" s="160"/>
      <c r="H19" s="161"/>
      <c r="I19" s="142">
        <v>21.000000000000007</v>
      </c>
      <c r="J19" s="142">
        <v>40.277777777777779</v>
      </c>
      <c r="K19" s="142">
        <v>0</v>
      </c>
      <c r="L19" s="142">
        <v>0</v>
      </c>
      <c r="M19" s="142">
        <v>4.0701754385964781</v>
      </c>
      <c r="N19" s="142">
        <v>7.1228070175438507</v>
      </c>
      <c r="O19" s="142">
        <v>0</v>
      </c>
      <c r="P19" s="143">
        <v>71.228070175438518</v>
      </c>
      <c r="Q19" s="144">
        <v>58.982738689881479</v>
      </c>
      <c r="R19" s="144">
        <v>9.4693877551020424</v>
      </c>
      <c r="S19" s="144">
        <v>0</v>
      </c>
      <c r="T19" s="144">
        <v>7</v>
      </c>
      <c r="U19" s="144">
        <f t="shared" si="0"/>
        <v>41.428571428571431</v>
      </c>
      <c r="V19" s="144">
        <v>0.66560138348416298</v>
      </c>
      <c r="W19" s="288">
        <f t="shared" si="1"/>
        <v>193.02440121040726</v>
      </c>
      <c r="X19" s="284" t="str">
        <f t="shared" si="2"/>
        <v>No</v>
      </c>
      <c r="Y19" s="140">
        <v>19475.580000000002</v>
      </c>
      <c r="Z19" s="169"/>
      <c r="AA19" s="154" t="s">
        <v>15</v>
      </c>
      <c r="AB19" s="103"/>
      <c r="AD19" s="2"/>
    </row>
    <row r="20" spans="2:30">
      <c r="B20" s="198">
        <v>3151</v>
      </c>
      <c r="C20" s="60" t="s">
        <v>26</v>
      </c>
      <c r="D20" s="204"/>
      <c r="F20" s="80">
        <v>253</v>
      </c>
      <c r="G20" s="160"/>
      <c r="H20" s="161"/>
      <c r="I20" s="142">
        <v>6.9999999999999947</v>
      </c>
      <c r="J20" s="142">
        <v>15.240963855421686</v>
      </c>
      <c r="K20" s="142">
        <v>0</v>
      </c>
      <c r="L20" s="142">
        <v>0</v>
      </c>
      <c r="M20" s="142">
        <v>0</v>
      </c>
      <c r="N20" s="142">
        <v>0</v>
      </c>
      <c r="O20" s="142">
        <v>0</v>
      </c>
      <c r="P20" s="143">
        <v>0</v>
      </c>
      <c r="Q20" s="144">
        <v>49.762617473024761</v>
      </c>
      <c r="R20" s="144">
        <v>8.0135746606334894</v>
      </c>
      <c r="S20" s="144">
        <v>0</v>
      </c>
      <c r="T20" s="144">
        <v>7</v>
      </c>
      <c r="U20" s="144">
        <f t="shared" si="0"/>
        <v>36.142857142857146</v>
      </c>
      <c r="V20" s="144">
        <v>1.7892789458823499</v>
      </c>
      <c r="W20" s="288">
        <f t="shared" si="1"/>
        <v>452.68757330823451</v>
      </c>
      <c r="X20" s="284" t="str">
        <f t="shared" si="2"/>
        <v>No</v>
      </c>
      <c r="Y20" s="140">
        <v>20328.53</v>
      </c>
      <c r="Z20" s="169"/>
      <c r="AA20" s="154" t="s">
        <v>15</v>
      </c>
      <c r="AB20" s="103"/>
      <c r="AD20" s="2"/>
    </row>
    <row r="21" spans="2:30">
      <c r="B21" s="198">
        <v>3152</v>
      </c>
      <c r="C21" s="60" t="s">
        <v>27</v>
      </c>
      <c r="D21" s="204"/>
      <c r="F21" s="80">
        <v>148</v>
      </c>
      <c r="G21" s="160"/>
      <c r="H21" s="161"/>
      <c r="I21" s="142">
        <v>7</v>
      </c>
      <c r="J21" s="142">
        <v>8.1655172413793107</v>
      </c>
      <c r="K21" s="142">
        <v>0</v>
      </c>
      <c r="L21" s="142">
        <v>0</v>
      </c>
      <c r="M21" s="142">
        <v>0</v>
      </c>
      <c r="N21" s="142">
        <v>0</v>
      </c>
      <c r="O21" s="142">
        <v>0</v>
      </c>
      <c r="P21" s="143">
        <v>0</v>
      </c>
      <c r="Q21" s="144">
        <v>24.017309885310404</v>
      </c>
      <c r="R21" s="144">
        <v>1.1127819548872175</v>
      </c>
      <c r="S21" s="144">
        <v>0</v>
      </c>
      <c r="T21" s="144">
        <v>7</v>
      </c>
      <c r="U21" s="144">
        <f t="shared" si="0"/>
        <v>21.142857142857142</v>
      </c>
      <c r="V21" s="144">
        <v>0.85577862720588205</v>
      </c>
      <c r="W21" s="288">
        <f t="shared" si="1"/>
        <v>126.65523682647054</v>
      </c>
      <c r="X21" s="284" t="str">
        <f t="shared" si="2"/>
        <v>No</v>
      </c>
      <c r="Y21" s="140">
        <v>15480</v>
      </c>
      <c r="Z21" s="169"/>
      <c r="AA21" s="154" t="s">
        <v>15</v>
      </c>
      <c r="AB21" s="103"/>
      <c r="AD21" s="2"/>
    </row>
    <row r="22" spans="2:30">
      <c r="B22" s="198">
        <v>2008</v>
      </c>
      <c r="C22" s="60" t="s">
        <v>28</v>
      </c>
      <c r="D22" s="204"/>
      <c r="F22" s="80">
        <v>287</v>
      </c>
      <c r="G22" s="160"/>
      <c r="H22" s="161"/>
      <c r="I22" s="142">
        <v>20.000000000000004</v>
      </c>
      <c r="J22" s="142">
        <v>44.232974910394269</v>
      </c>
      <c r="K22" s="142">
        <v>0</v>
      </c>
      <c r="L22" s="142">
        <v>12.300000000000011</v>
      </c>
      <c r="M22" s="142">
        <v>31.775000000000084</v>
      </c>
      <c r="N22" s="142">
        <v>5.1250000000000124</v>
      </c>
      <c r="O22" s="142">
        <v>10.249999999999995</v>
      </c>
      <c r="P22" s="143">
        <v>10.249999999999995</v>
      </c>
      <c r="Q22" s="144">
        <v>72.772175781067588</v>
      </c>
      <c r="R22" s="144">
        <v>44.514285714285847</v>
      </c>
      <c r="S22" s="144">
        <v>0</v>
      </c>
      <c r="T22" s="144">
        <v>7</v>
      </c>
      <c r="U22" s="144">
        <f t="shared" si="0"/>
        <v>41</v>
      </c>
      <c r="V22" s="144">
        <v>0.29719286279069801</v>
      </c>
      <c r="W22" s="288">
        <f t="shared" si="1"/>
        <v>85.294351620930328</v>
      </c>
      <c r="X22" s="284" t="str">
        <f t="shared" si="2"/>
        <v>No</v>
      </c>
      <c r="Y22" s="140">
        <v>13647.12</v>
      </c>
      <c r="Z22" s="169"/>
      <c r="AA22" s="154" t="s">
        <v>15</v>
      </c>
      <c r="AB22" s="103"/>
      <c r="AD22" s="2"/>
    </row>
    <row r="23" spans="2:30">
      <c r="B23" s="198">
        <v>2009</v>
      </c>
      <c r="C23" s="60" t="s">
        <v>29</v>
      </c>
      <c r="D23" s="204" t="s">
        <v>72</v>
      </c>
      <c r="F23" s="80">
        <v>179</v>
      </c>
      <c r="G23" s="160"/>
      <c r="H23" s="161"/>
      <c r="I23" s="142">
        <v>47.000000000000071</v>
      </c>
      <c r="J23" s="142">
        <v>88.016574585635368</v>
      </c>
      <c r="K23" s="142">
        <v>0</v>
      </c>
      <c r="L23" s="142">
        <v>7.16</v>
      </c>
      <c r="M23" s="142">
        <v>3.0685714285714205</v>
      </c>
      <c r="N23" s="142">
        <v>54.211428571428598</v>
      </c>
      <c r="O23" s="142">
        <v>0</v>
      </c>
      <c r="P23" s="143">
        <v>56.257142857142803</v>
      </c>
      <c r="Q23" s="144">
        <v>85.959408993204093</v>
      </c>
      <c r="R23" s="144">
        <v>24.924050632911406</v>
      </c>
      <c r="S23" s="144">
        <v>0</v>
      </c>
      <c r="T23" s="144">
        <v>7</v>
      </c>
      <c r="U23" s="144">
        <f t="shared" si="0"/>
        <v>25.571428571428573</v>
      </c>
      <c r="V23" s="144">
        <v>0.39692568445378201</v>
      </c>
      <c r="W23" s="288">
        <f t="shared" si="1"/>
        <v>71.049697517226974</v>
      </c>
      <c r="X23" s="284" t="str">
        <f t="shared" si="2"/>
        <v>No</v>
      </c>
      <c r="Y23" s="140">
        <v>4207.8599999999997</v>
      </c>
      <c r="Z23" s="169"/>
      <c r="AA23" s="154" t="s">
        <v>15</v>
      </c>
      <c r="AB23" s="103"/>
      <c r="AD23" s="2"/>
    </row>
    <row r="24" spans="2:30">
      <c r="B24" s="198">
        <v>2241</v>
      </c>
      <c r="C24" s="60" t="s">
        <v>30</v>
      </c>
      <c r="D24" s="204"/>
      <c r="F24" s="80">
        <v>301</v>
      </c>
      <c r="G24" s="160"/>
      <c r="H24" s="161"/>
      <c r="I24" s="142">
        <v>12.000000000000002</v>
      </c>
      <c r="J24" s="142">
        <v>13.891106121459369</v>
      </c>
      <c r="K24" s="142">
        <v>0</v>
      </c>
      <c r="L24" s="142">
        <v>0</v>
      </c>
      <c r="M24" s="142">
        <v>0</v>
      </c>
      <c r="N24" s="142">
        <v>0</v>
      </c>
      <c r="O24" s="142">
        <v>4.0267558528428147</v>
      </c>
      <c r="P24" s="143">
        <v>0</v>
      </c>
      <c r="Q24" s="144">
        <v>81.660124880219996</v>
      </c>
      <c r="R24" s="144">
        <v>9.1212121212121211</v>
      </c>
      <c r="S24" s="144">
        <v>0</v>
      </c>
      <c r="T24" s="144">
        <v>7</v>
      </c>
      <c r="U24" s="144">
        <f t="shared" si="0"/>
        <v>43</v>
      </c>
      <c r="V24" s="144">
        <v>0.58574101838709702</v>
      </c>
      <c r="W24" s="288">
        <f t="shared" si="1"/>
        <v>176.30804653451619</v>
      </c>
      <c r="X24" s="284" t="str">
        <f t="shared" si="2"/>
        <v>No</v>
      </c>
      <c r="Y24" s="140">
        <v>20328.53</v>
      </c>
      <c r="Z24" s="169"/>
      <c r="AA24" s="154" t="s">
        <v>15</v>
      </c>
      <c r="AB24" s="103"/>
      <c r="AD24" s="2"/>
    </row>
    <row r="25" spans="2:30">
      <c r="B25" s="198">
        <v>2001</v>
      </c>
      <c r="C25" s="60" t="s">
        <v>31</v>
      </c>
      <c r="D25" s="204" t="s">
        <v>70</v>
      </c>
      <c r="F25" s="80">
        <v>426</v>
      </c>
      <c r="G25" s="160"/>
      <c r="H25" s="161"/>
      <c r="I25" s="142">
        <v>11.000000000000018</v>
      </c>
      <c r="J25" s="142">
        <v>14.099290780141844</v>
      </c>
      <c r="K25" s="142">
        <v>0</v>
      </c>
      <c r="L25" s="142">
        <v>0</v>
      </c>
      <c r="M25" s="142">
        <v>1.0023529411764713</v>
      </c>
      <c r="N25" s="142">
        <v>2.0047058823529427</v>
      </c>
      <c r="O25" s="142">
        <v>0</v>
      </c>
      <c r="P25" s="143">
        <v>38.089411764705901</v>
      </c>
      <c r="Q25" s="144">
        <v>102.52076337179574</v>
      </c>
      <c r="R25" s="144">
        <v>3.5013698630136982</v>
      </c>
      <c r="S25" s="144">
        <v>0</v>
      </c>
      <c r="T25" s="144">
        <v>7</v>
      </c>
      <c r="U25" s="144">
        <f t="shared" si="0"/>
        <v>60.857142857142854</v>
      </c>
      <c r="V25" s="144">
        <v>0.50611402490272395</v>
      </c>
      <c r="W25" s="288">
        <f t="shared" si="1"/>
        <v>215.6045746085604</v>
      </c>
      <c r="X25" s="284" t="str">
        <f t="shared" si="2"/>
        <v>No</v>
      </c>
      <c r="Y25" s="140">
        <v>3781.39</v>
      </c>
      <c r="Z25" s="169"/>
      <c r="AA25" s="154" t="s">
        <v>15</v>
      </c>
      <c r="AB25" s="103"/>
      <c r="AD25" s="2"/>
    </row>
    <row r="26" spans="2:30">
      <c r="B26" s="198">
        <v>3302</v>
      </c>
      <c r="C26" s="60" t="s">
        <v>32</v>
      </c>
      <c r="D26" s="204" t="s">
        <v>70</v>
      </c>
      <c r="F26" s="80">
        <v>144</v>
      </c>
      <c r="G26" s="160"/>
      <c r="H26" s="161"/>
      <c r="I26" s="142">
        <v>9</v>
      </c>
      <c r="J26" s="142">
        <v>21.446808510638299</v>
      </c>
      <c r="K26" s="142">
        <v>0</v>
      </c>
      <c r="L26" s="142">
        <v>3.0209790209790239</v>
      </c>
      <c r="M26" s="142">
        <v>0</v>
      </c>
      <c r="N26" s="142">
        <v>6.0419580419580479</v>
      </c>
      <c r="O26" s="142">
        <v>0</v>
      </c>
      <c r="P26" s="143">
        <v>47.328671328671376</v>
      </c>
      <c r="Q26" s="144">
        <v>31.489102557552627</v>
      </c>
      <c r="R26" s="144">
        <v>1.1612903225806455</v>
      </c>
      <c r="S26" s="144">
        <v>0</v>
      </c>
      <c r="T26" s="144">
        <v>7</v>
      </c>
      <c r="U26" s="144">
        <f t="shared" si="0"/>
        <v>20.571428571428573</v>
      </c>
      <c r="V26" s="144">
        <v>0.31280737872340397</v>
      </c>
      <c r="W26" s="288">
        <f t="shared" si="1"/>
        <v>45.044262536170173</v>
      </c>
      <c r="X26" s="284" t="str">
        <f t="shared" si="2"/>
        <v>No</v>
      </c>
      <c r="Y26" s="140">
        <v>1409.56</v>
      </c>
      <c r="Z26" s="169"/>
      <c r="AA26" s="154" t="s">
        <v>15</v>
      </c>
      <c r="AB26" s="103"/>
      <c r="AD26" s="2"/>
    </row>
    <row r="27" spans="2:30">
      <c r="B27" s="198">
        <v>2028</v>
      </c>
      <c r="C27" s="60" t="s">
        <v>33</v>
      </c>
      <c r="D27" s="204"/>
      <c r="F27" s="80">
        <v>280</v>
      </c>
      <c r="G27" s="160"/>
      <c r="H27" s="161"/>
      <c r="I27" s="142">
        <v>61.000000000000043</v>
      </c>
      <c r="J27" s="142">
        <v>113.62318840579711</v>
      </c>
      <c r="K27" s="142">
        <v>0</v>
      </c>
      <c r="L27" s="142">
        <v>0</v>
      </c>
      <c r="M27" s="142">
        <v>36.25899280575544</v>
      </c>
      <c r="N27" s="142">
        <v>68.489208633093639</v>
      </c>
      <c r="O27" s="142">
        <v>1.0071942446043156</v>
      </c>
      <c r="P27" s="143">
        <v>100.71942446043155</v>
      </c>
      <c r="Q27" s="144">
        <v>100.5714533284232</v>
      </c>
      <c r="R27" s="144">
        <v>11.965811965811957</v>
      </c>
      <c r="S27" s="144">
        <v>0</v>
      </c>
      <c r="T27" s="144">
        <v>7</v>
      </c>
      <c r="U27" s="144">
        <f t="shared" si="0"/>
        <v>40</v>
      </c>
      <c r="V27" s="144">
        <v>0.47920655666666701</v>
      </c>
      <c r="W27" s="288">
        <f t="shared" si="1"/>
        <v>134.17783586666675</v>
      </c>
      <c r="X27" s="284" t="str">
        <f t="shared" si="2"/>
        <v>No</v>
      </c>
      <c r="Y27" s="140">
        <v>39020.410000000003</v>
      </c>
      <c r="Z27" s="140">
        <v>235840</v>
      </c>
      <c r="AA27" s="154" t="s">
        <v>15</v>
      </c>
      <c r="AB27" s="103"/>
      <c r="AD27" s="2"/>
    </row>
    <row r="28" spans="2:30">
      <c r="B28" s="198">
        <v>2180</v>
      </c>
      <c r="C28" s="60" t="s">
        <v>34</v>
      </c>
      <c r="D28" s="204" t="s">
        <v>74</v>
      </c>
      <c r="F28" s="80">
        <v>418</v>
      </c>
      <c r="G28" s="160"/>
      <c r="H28" s="161"/>
      <c r="I28" s="142">
        <v>18</v>
      </c>
      <c r="J28" s="142">
        <v>38.553398058252426</v>
      </c>
      <c r="K28" s="142">
        <v>0</v>
      </c>
      <c r="L28" s="142">
        <v>2.0096153846153855</v>
      </c>
      <c r="M28" s="142">
        <v>2.0096153846153855</v>
      </c>
      <c r="N28" s="142">
        <v>11.052884615384619</v>
      </c>
      <c r="O28" s="142">
        <v>11.052884615384619</v>
      </c>
      <c r="P28" s="143">
        <v>16.076923076923091</v>
      </c>
      <c r="Q28" s="144">
        <v>116.72051510901433</v>
      </c>
      <c r="R28" s="144">
        <v>17.27272727272728</v>
      </c>
      <c r="S28" s="144">
        <v>0</v>
      </c>
      <c r="T28" s="144">
        <v>7</v>
      </c>
      <c r="U28" s="144">
        <f t="shared" si="0"/>
        <v>59.714285714285715</v>
      </c>
      <c r="V28" s="144">
        <v>0.74326234453781503</v>
      </c>
      <c r="W28" s="288">
        <f t="shared" si="1"/>
        <v>310.6836600168067</v>
      </c>
      <c r="X28" s="284" t="str">
        <f t="shared" si="2"/>
        <v>No</v>
      </c>
      <c r="Y28" s="140">
        <v>4176</v>
      </c>
      <c r="Z28" s="169"/>
      <c r="AA28" s="154" t="s">
        <v>15</v>
      </c>
      <c r="AB28" s="103"/>
      <c r="AD28" s="2"/>
    </row>
    <row r="29" spans="2:30">
      <c r="B29" s="198">
        <v>2011</v>
      </c>
      <c r="C29" s="60" t="s">
        <v>36</v>
      </c>
      <c r="D29" s="204" t="s">
        <v>73</v>
      </c>
      <c r="F29" s="80">
        <v>415</v>
      </c>
      <c r="G29" s="160"/>
      <c r="H29" s="161"/>
      <c r="I29" s="142">
        <v>19.000000000000007</v>
      </c>
      <c r="J29" s="142">
        <v>44.194805194805191</v>
      </c>
      <c r="K29" s="142">
        <v>0</v>
      </c>
      <c r="L29" s="142">
        <v>0</v>
      </c>
      <c r="M29" s="142">
        <v>5.0733496332518238</v>
      </c>
      <c r="N29" s="142">
        <v>1.0146699266503647</v>
      </c>
      <c r="O29" s="142">
        <v>9.1320293398532915</v>
      </c>
      <c r="P29" s="143">
        <v>7.1026894865525785</v>
      </c>
      <c r="Q29" s="144">
        <v>87.641785359615938</v>
      </c>
      <c r="R29" s="144">
        <v>32.824858757062145</v>
      </c>
      <c r="S29" s="144">
        <v>0</v>
      </c>
      <c r="T29" s="144">
        <v>7</v>
      </c>
      <c r="U29" s="144">
        <f t="shared" si="0"/>
        <v>59.285714285714285</v>
      </c>
      <c r="V29" s="144">
        <v>0.49844562678571402</v>
      </c>
      <c r="W29" s="288">
        <f t="shared" si="1"/>
        <v>206.85493511607132</v>
      </c>
      <c r="X29" s="284" t="str">
        <f t="shared" si="2"/>
        <v>No</v>
      </c>
      <c r="Y29" s="140">
        <v>7687.55</v>
      </c>
      <c r="Z29" s="169"/>
      <c r="AA29" s="154" t="s">
        <v>15</v>
      </c>
      <c r="AB29" s="103"/>
      <c r="AD29" s="2"/>
    </row>
    <row r="30" spans="2:30">
      <c r="B30" s="198">
        <v>2428</v>
      </c>
      <c r="C30" s="60" t="s">
        <v>37</v>
      </c>
      <c r="D30" s="204"/>
      <c r="F30" s="80">
        <v>283</v>
      </c>
      <c r="G30" s="160"/>
      <c r="H30" s="161"/>
      <c r="I30" s="142">
        <v>25.999999999999993</v>
      </c>
      <c r="J30" s="142">
        <v>46.558064516129036</v>
      </c>
      <c r="K30" s="142">
        <v>0</v>
      </c>
      <c r="L30" s="142">
        <v>8.0283687943262318</v>
      </c>
      <c r="M30" s="142">
        <v>0</v>
      </c>
      <c r="N30" s="142">
        <v>9.0319148936170279</v>
      </c>
      <c r="O30" s="142">
        <v>1.0035460992907796</v>
      </c>
      <c r="P30" s="143">
        <v>11.039007092198593</v>
      </c>
      <c r="Q30" s="144">
        <v>67.871409669038854</v>
      </c>
      <c r="R30" s="144">
        <v>16.778656126482208</v>
      </c>
      <c r="S30" s="144">
        <v>0</v>
      </c>
      <c r="T30" s="144">
        <v>7</v>
      </c>
      <c r="U30" s="144">
        <f t="shared" si="0"/>
        <v>40.428571428571431</v>
      </c>
      <c r="V30" s="144">
        <v>0.46670781231671499</v>
      </c>
      <c r="W30" s="288">
        <f t="shared" si="1"/>
        <v>132.07831088563034</v>
      </c>
      <c r="X30" s="284" t="str">
        <f t="shared" si="2"/>
        <v>No</v>
      </c>
      <c r="Y30" s="140">
        <v>28560</v>
      </c>
      <c r="Z30" s="169"/>
      <c r="AA30" s="154" t="s">
        <v>15</v>
      </c>
      <c r="AB30" s="103"/>
      <c r="AD30" s="2"/>
    </row>
    <row r="31" spans="2:30">
      <c r="B31" s="198">
        <v>3158</v>
      </c>
      <c r="C31" s="60" t="s">
        <v>38</v>
      </c>
      <c r="D31" s="204"/>
      <c r="F31" s="80">
        <v>196</v>
      </c>
      <c r="G31" s="160"/>
      <c r="H31" s="161"/>
      <c r="I31" s="142">
        <v>3.0000000000000018</v>
      </c>
      <c r="J31" s="142">
        <v>9.8989898989898997</v>
      </c>
      <c r="K31" s="142">
        <v>0</v>
      </c>
      <c r="L31" s="142">
        <v>2.020618556701038</v>
      </c>
      <c r="M31" s="142">
        <v>1.0103092783505152</v>
      </c>
      <c r="N31" s="142">
        <v>0</v>
      </c>
      <c r="O31" s="142">
        <v>0</v>
      </c>
      <c r="P31" s="143">
        <v>25.257731958762829</v>
      </c>
      <c r="Q31" s="144">
        <v>41.527872359855444</v>
      </c>
      <c r="R31" s="144">
        <v>34.035928143712489</v>
      </c>
      <c r="S31" s="144">
        <v>0</v>
      </c>
      <c r="T31" s="144">
        <v>7</v>
      </c>
      <c r="U31" s="144">
        <f t="shared" si="0"/>
        <v>28</v>
      </c>
      <c r="V31" s="144">
        <v>0.63514717407407395</v>
      </c>
      <c r="W31" s="288">
        <f t="shared" si="1"/>
        <v>124.4888461185185</v>
      </c>
      <c r="X31" s="284" t="str">
        <f t="shared" si="2"/>
        <v>No</v>
      </c>
      <c r="Y31" s="140">
        <v>15921.64</v>
      </c>
      <c r="Z31" s="169"/>
      <c r="AA31" s="154" t="s">
        <v>15</v>
      </c>
      <c r="AB31" s="103"/>
      <c r="AD31" s="2"/>
    </row>
    <row r="32" spans="2:30">
      <c r="B32" s="198">
        <v>3159</v>
      </c>
      <c r="C32" s="60" t="s">
        <v>41</v>
      </c>
      <c r="D32" s="204"/>
      <c r="F32" s="80">
        <v>81</v>
      </c>
      <c r="G32" s="160"/>
      <c r="H32" s="161"/>
      <c r="I32" s="142">
        <v>1.0000000000000016</v>
      </c>
      <c r="J32" s="142">
        <v>7</v>
      </c>
      <c r="K32" s="142">
        <v>0</v>
      </c>
      <c r="L32" s="142">
        <v>1.0000000000000016</v>
      </c>
      <c r="M32" s="142">
        <v>0</v>
      </c>
      <c r="N32" s="142">
        <v>0</v>
      </c>
      <c r="O32" s="142">
        <v>0</v>
      </c>
      <c r="P32" s="143">
        <v>0</v>
      </c>
      <c r="Q32" s="144">
        <v>19.59435707678076</v>
      </c>
      <c r="R32" s="144">
        <v>0</v>
      </c>
      <c r="S32" s="144">
        <v>0</v>
      </c>
      <c r="T32" s="144">
        <v>7</v>
      </c>
      <c r="U32" s="144">
        <f t="shared" si="0"/>
        <v>11.571428571428571</v>
      </c>
      <c r="V32" s="144">
        <v>1.5581970684931501</v>
      </c>
      <c r="W32" s="288">
        <f t="shared" si="1"/>
        <v>126.21396254794516</v>
      </c>
      <c r="X32" s="284" t="str">
        <f t="shared" si="2"/>
        <v>No</v>
      </c>
      <c r="Y32" s="140">
        <v>0</v>
      </c>
      <c r="Z32" s="169"/>
      <c r="AA32" s="154" t="s">
        <v>15</v>
      </c>
      <c r="AB32" s="103"/>
      <c r="AD32" s="2"/>
    </row>
    <row r="33" spans="2:30">
      <c r="B33" s="198">
        <v>3901</v>
      </c>
      <c r="C33" s="60" t="s">
        <v>65</v>
      </c>
      <c r="D33" s="204" t="s">
        <v>70</v>
      </c>
      <c r="F33" s="80">
        <v>181</v>
      </c>
      <c r="G33" s="160"/>
      <c r="H33" s="161"/>
      <c r="I33" s="142">
        <v>24.000000000000014</v>
      </c>
      <c r="J33" s="142">
        <v>49.101063829787229</v>
      </c>
      <c r="K33" s="142">
        <v>0</v>
      </c>
      <c r="L33" s="142">
        <v>0</v>
      </c>
      <c r="M33" s="142">
        <v>1.011173184357542</v>
      </c>
      <c r="N33" s="142">
        <v>3.0335195530726167</v>
      </c>
      <c r="O33" s="142">
        <v>80.89385474860336</v>
      </c>
      <c r="P33" s="143">
        <v>1.011173184357542</v>
      </c>
      <c r="Q33" s="144">
        <v>52.907692307692258</v>
      </c>
      <c r="R33" s="144">
        <v>3.4807692307692255</v>
      </c>
      <c r="S33" s="144">
        <v>0</v>
      </c>
      <c r="T33" s="144">
        <v>7</v>
      </c>
      <c r="U33" s="144">
        <f t="shared" si="0"/>
        <v>25.857142857142858</v>
      </c>
      <c r="V33" s="144">
        <v>0.63952833568075096</v>
      </c>
      <c r="W33" s="288">
        <f t="shared" si="1"/>
        <v>115.75462875821593</v>
      </c>
      <c r="X33" s="284" t="str">
        <f t="shared" si="2"/>
        <v>No</v>
      </c>
      <c r="Y33" s="140">
        <v>3768</v>
      </c>
      <c r="Z33" s="169"/>
      <c r="AA33" s="154" t="s">
        <v>15</v>
      </c>
      <c r="AB33" s="103"/>
      <c r="AD33" s="2"/>
    </row>
    <row r="34" spans="2:30">
      <c r="B34" s="198">
        <v>2176</v>
      </c>
      <c r="C34" s="60" t="s">
        <v>42</v>
      </c>
      <c r="D34" s="204"/>
      <c r="F34" s="80">
        <v>302</v>
      </c>
      <c r="G34" s="160"/>
      <c r="H34" s="161"/>
      <c r="I34" s="142">
        <v>41.000000000000149</v>
      </c>
      <c r="J34" s="142">
        <v>90.220125786163521</v>
      </c>
      <c r="K34" s="142">
        <v>0</v>
      </c>
      <c r="L34" s="142">
        <v>49.326666666666569</v>
      </c>
      <c r="M34" s="142">
        <v>5.0333333333333439</v>
      </c>
      <c r="N34" s="142">
        <v>0</v>
      </c>
      <c r="O34" s="142">
        <v>1.0066666666666657</v>
      </c>
      <c r="P34" s="143">
        <v>90.6</v>
      </c>
      <c r="Q34" s="144">
        <v>109.19282003557115</v>
      </c>
      <c r="R34" s="144">
        <v>37.466165413533879</v>
      </c>
      <c r="S34" s="144">
        <v>6.800000000000078</v>
      </c>
      <c r="T34" s="144">
        <v>7</v>
      </c>
      <c r="U34" s="144">
        <f t="shared" si="0"/>
        <v>43.142857142857146</v>
      </c>
      <c r="V34" s="144">
        <v>0.50026459258064504</v>
      </c>
      <c r="W34" s="288">
        <f t="shared" si="1"/>
        <v>151.07990695935482</v>
      </c>
      <c r="X34" s="284" t="str">
        <f t="shared" si="2"/>
        <v>No</v>
      </c>
      <c r="Y34" s="140">
        <v>21734.68</v>
      </c>
      <c r="Z34" s="169"/>
      <c r="AA34" s="154" t="s">
        <v>69</v>
      </c>
      <c r="AB34" s="103"/>
      <c r="AD34" s="2"/>
    </row>
    <row r="35" spans="2:30">
      <c r="B35" s="198">
        <v>3904</v>
      </c>
      <c r="C35" s="60" t="s">
        <v>66</v>
      </c>
      <c r="D35" s="204"/>
      <c r="F35" s="80">
        <v>390</v>
      </c>
      <c r="G35" s="160"/>
      <c r="H35" s="161"/>
      <c r="I35" s="142">
        <v>20.000000000000007</v>
      </c>
      <c r="J35" s="142">
        <v>50.786240786240782</v>
      </c>
      <c r="K35" s="142">
        <v>0</v>
      </c>
      <c r="L35" s="142">
        <v>0</v>
      </c>
      <c r="M35" s="142">
        <v>29.074550128534714</v>
      </c>
      <c r="N35" s="142">
        <v>36.092544987146546</v>
      </c>
      <c r="O35" s="142">
        <v>5.0128534704370198</v>
      </c>
      <c r="P35" s="143">
        <v>40.102827763496158</v>
      </c>
      <c r="Q35" s="144">
        <v>59.667225349793242</v>
      </c>
      <c r="R35" s="144">
        <v>32.687861271676297</v>
      </c>
      <c r="S35" s="144">
        <v>0</v>
      </c>
      <c r="T35" s="144">
        <v>7</v>
      </c>
      <c r="U35" s="144">
        <f t="shared" si="0"/>
        <v>55.714285714285715</v>
      </c>
      <c r="V35" s="144">
        <v>0.36592660645161301</v>
      </c>
      <c r="W35" s="288">
        <f t="shared" si="1"/>
        <v>142.71137651612906</v>
      </c>
      <c r="X35" s="284" t="str">
        <f t="shared" si="2"/>
        <v>No</v>
      </c>
      <c r="Y35" s="140">
        <v>11342.58</v>
      </c>
      <c r="Z35" s="169"/>
      <c r="AA35" s="154" t="s">
        <v>15</v>
      </c>
      <c r="AB35" s="103"/>
      <c r="AD35" s="2"/>
    </row>
    <row r="36" spans="2:30">
      <c r="B36" s="198">
        <v>2012</v>
      </c>
      <c r="C36" s="60" t="s">
        <v>43</v>
      </c>
      <c r="D36" s="204" t="s">
        <v>72</v>
      </c>
      <c r="F36" s="80">
        <v>268</v>
      </c>
      <c r="G36" s="160"/>
      <c r="H36" s="161"/>
      <c r="I36" s="142">
        <v>23.999999999999986</v>
      </c>
      <c r="J36" s="142">
        <v>46.345864661654133</v>
      </c>
      <c r="K36" s="142">
        <v>0</v>
      </c>
      <c r="L36" s="142">
        <v>0</v>
      </c>
      <c r="M36" s="142">
        <v>0</v>
      </c>
      <c r="N36" s="142">
        <v>16.059925093632959</v>
      </c>
      <c r="O36" s="142">
        <v>0</v>
      </c>
      <c r="P36" s="143">
        <v>53.198501872659165</v>
      </c>
      <c r="Q36" s="144">
        <v>85.952949669196869</v>
      </c>
      <c r="R36" s="144">
        <v>15.280701754385959</v>
      </c>
      <c r="S36" s="144">
        <v>0</v>
      </c>
      <c r="T36" s="144">
        <v>7</v>
      </c>
      <c r="U36" s="144">
        <f t="shared" si="0"/>
        <v>38.285714285714285</v>
      </c>
      <c r="V36" s="144">
        <v>0.27063233387978097</v>
      </c>
      <c r="W36" s="288">
        <f t="shared" si="1"/>
        <v>72.529465479781294</v>
      </c>
      <c r="X36" s="284" t="str">
        <f t="shared" si="2"/>
        <v>No</v>
      </c>
      <c r="Y36" s="140">
        <v>22460.89</v>
      </c>
      <c r="Z36" s="169"/>
      <c r="AA36" s="154" t="s">
        <v>15</v>
      </c>
      <c r="AB36" s="103"/>
      <c r="AD36" s="2"/>
    </row>
    <row r="37" spans="2:30">
      <c r="B37" s="198">
        <v>2029</v>
      </c>
      <c r="C37" s="60" t="s">
        <v>44</v>
      </c>
      <c r="D37" s="204" t="s">
        <v>71</v>
      </c>
      <c r="F37" s="80">
        <v>436</v>
      </c>
      <c r="G37" s="160"/>
      <c r="H37" s="161"/>
      <c r="I37" s="142">
        <v>10.999999999999984</v>
      </c>
      <c r="J37" s="142">
        <v>16.807256235827666</v>
      </c>
      <c r="K37" s="142">
        <v>0</v>
      </c>
      <c r="L37" s="142">
        <v>0</v>
      </c>
      <c r="M37" s="142">
        <v>5.0230414746543603</v>
      </c>
      <c r="N37" s="142">
        <v>0</v>
      </c>
      <c r="O37" s="142">
        <v>0</v>
      </c>
      <c r="P37" s="143">
        <v>2.0092165898617531</v>
      </c>
      <c r="Q37" s="144">
        <v>73.113040494166214</v>
      </c>
      <c r="R37" s="144">
        <v>1.1595744680851079</v>
      </c>
      <c r="S37" s="144">
        <v>0</v>
      </c>
      <c r="T37" s="144">
        <v>7</v>
      </c>
      <c r="U37" s="144">
        <f t="shared" si="0"/>
        <v>62.285714285714285</v>
      </c>
      <c r="V37" s="144">
        <v>1.3131048541957999</v>
      </c>
      <c r="W37" s="288">
        <f t="shared" si="1"/>
        <v>572.51371642936874</v>
      </c>
      <c r="X37" s="284" t="str">
        <f t="shared" si="2"/>
        <v>No</v>
      </c>
      <c r="Y37" s="140">
        <v>3980.41</v>
      </c>
      <c r="Z37" s="169"/>
      <c r="AA37" s="154" t="s">
        <v>15</v>
      </c>
      <c r="AB37" s="103"/>
      <c r="AD37" s="2"/>
    </row>
    <row r="38" spans="2:30">
      <c r="B38" s="198">
        <v>2014</v>
      </c>
      <c r="C38" s="60" t="s">
        <v>45</v>
      </c>
      <c r="D38" s="204"/>
      <c r="F38" s="80">
        <v>390</v>
      </c>
      <c r="G38" s="160"/>
      <c r="H38" s="161"/>
      <c r="I38" s="142">
        <v>51.000000000000092</v>
      </c>
      <c r="J38" s="142">
        <v>80.412371134020617</v>
      </c>
      <c r="K38" s="142">
        <v>0</v>
      </c>
      <c r="L38" s="142">
        <v>0</v>
      </c>
      <c r="M38" s="142">
        <v>68.527131782945546</v>
      </c>
      <c r="N38" s="142">
        <v>4.0310077519379846</v>
      </c>
      <c r="O38" s="142">
        <v>0</v>
      </c>
      <c r="P38" s="143">
        <v>15.116279069767433</v>
      </c>
      <c r="Q38" s="144">
        <v>135.3078798155901</v>
      </c>
      <c r="R38" s="144">
        <v>14.011976047904172</v>
      </c>
      <c r="S38" s="144">
        <v>0</v>
      </c>
      <c r="T38" s="144">
        <v>7</v>
      </c>
      <c r="U38" s="144">
        <f t="shared" si="0"/>
        <v>55.714285714285715</v>
      </c>
      <c r="V38" s="144">
        <v>0.36422936136363598</v>
      </c>
      <c r="W38" s="288">
        <f t="shared" si="1"/>
        <v>142.04945093181803</v>
      </c>
      <c r="X38" s="284" t="str">
        <f t="shared" si="2"/>
        <v>No</v>
      </c>
      <c r="Y38" s="140">
        <v>21323.63</v>
      </c>
      <c r="Z38" s="169"/>
      <c r="AA38" s="154" t="s">
        <v>15</v>
      </c>
      <c r="AB38" s="103"/>
      <c r="AD38" s="2"/>
    </row>
    <row r="39" spans="2:30">
      <c r="B39" s="198">
        <v>2058</v>
      </c>
      <c r="C39" s="60" t="s">
        <v>46</v>
      </c>
      <c r="D39" s="204"/>
      <c r="F39" s="80">
        <v>323</v>
      </c>
      <c r="G39" s="160"/>
      <c r="H39" s="161"/>
      <c r="I39" s="142">
        <v>4.9999999999999964</v>
      </c>
      <c r="J39" s="142">
        <v>14.043478260869565</v>
      </c>
      <c r="K39" s="142">
        <v>0</v>
      </c>
      <c r="L39" s="142">
        <v>0</v>
      </c>
      <c r="M39" s="142">
        <v>1.006230529595016</v>
      </c>
      <c r="N39" s="142">
        <v>0</v>
      </c>
      <c r="O39" s="142">
        <v>2.012461059190032</v>
      </c>
      <c r="P39" s="143">
        <v>5.0311526479750643</v>
      </c>
      <c r="Q39" s="144">
        <v>80.289967954424</v>
      </c>
      <c r="R39" s="144">
        <v>8.2518248175182638</v>
      </c>
      <c r="S39" s="144">
        <v>0</v>
      </c>
      <c r="T39" s="144">
        <v>7</v>
      </c>
      <c r="U39" s="144">
        <f t="shared" si="0"/>
        <v>46.142857142857146</v>
      </c>
      <c r="V39" s="144">
        <v>0.67366529508196704</v>
      </c>
      <c r="W39" s="288">
        <f t="shared" si="1"/>
        <v>217.59389031147535</v>
      </c>
      <c r="X39" s="284" t="str">
        <f t="shared" si="2"/>
        <v>No</v>
      </c>
      <c r="Y39" s="140">
        <v>18906.95</v>
      </c>
      <c r="Z39" s="169"/>
      <c r="AA39" s="154" t="s">
        <v>15</v>
      </c>
      <c r="AB39" s="103"/>
      <c r="AD39" s="2"/>
    </row>
    <row r="40" spans="2:30">
      <c r="B40" s="198">
        <v>3212</v>
      </c>
      <c r="C40" s="60" t="s">
        <v>47</v>
      </c>
      <c r="D40" s="204" t="s">
        <v>72</v>
      </c>
      <c r="F40" s="80">
        <v>598</v>
      </c>
      <c r="G40" s="160"/>
      <c r="H40" s="161"/>
      <c r="I40" s="142">
        <v>16.000000000000021</v>
      </c>
      <c r="J40" s="142">
        <v>38.54876033057851</v>
      </c>
      <c r="K40" s="142">
        <v>0</v>
      </c>
      <c r="L40" s="142">
        <v>2.010084033613448</v>
      </c>
      <c r="M40" s="142">
        <v>0</v>
      </c>
      <c r="N40" s="142">
        <v>1.0050420168067209</v>
      </c>
      <c r="O40" s="142">
        <v>1.0050420168067209</v>
      </c>
      <c r="P40" s="143">
        <v>2.010084033613448</v>
      </c>
      <c r="Q40" s="144">
        <v>163.28253164556961</v>
      </c>
      <c r="R40" s="144">
        <v>22.019379844961247</v>
      </c>
      <c r="S40" s="144">
        <v>0</v>
      </c>
      <c r="T40" s="144">
        <v>7</v>
      </c>
      <c r="U40" s="144">
        <f t="shared" si="0"/>
        <v>85.428571428571431</v>
      </c>
      <c r="V40" s="144">
        <v>1.94615365310345</v>
      </c>
      <c r="W40" s="288">
        <f t="shared" si="1"/>
        <v>1163.7998845558632</v>
      </c>
      <c r="X40" s="284" t="str">
        <f t="shared" si="2"/>
        <v>No</v>
      </c>
      <c r="Y40" s="140">
        <v>13344</v>
      </c>
      <c r="Z40" s="169"/>
      <c r="AA40" s="154" t="s">
        <v>15</v>
      </c>
      <c r="AB40" s="103"/>
      <c r="AD40" s="2"/>
    </row>
    <row r="41" spans="2:30">
      <c r="B41" s="198">
        <v>2349</v>
      </c>
      <c r="C41" s="60" t="s">
        <v>48</v>
      </c>
      <c r="D41" s="204"/>
      <c r="F41" s="80">
        <v>93</v>
      </c>
      <c r="G41" s="160"/>
      <c r="H41" s="161"/>
      <c r="I41" s="142">
        <v>6.0000000000000036</v>
      </c>
      <c r="J41" s="142">
        <v>6.2266081871345094</v>
      </c>
      <c r="K41" s="142">
        <v>0</v>
      </c>
      <c r="L41" s="142">
        <v>0</v>
      </c>
      <c r="M41" s="142">
        <v>0</v>
      </c>
      <c r="N41" s="142">
        <v>3.999999999999996</v>
      </c>
      <c r="O41" s="142">
        <v>0</v>
      </c>
      <c r="P41" s="143">
        <v>5.0000000000000044</v>
      </c>
      <c r="Q41" s="144">
        <v>17.658227848101276</v>
      </c>
      <c r="R41" s="144">
        <v>0</v>
      </c>
      <c r="S41" s="144">
        <v>3.6999999999999855</v>
      </c>
      <c r="T41" s="144">
        <v>7</v>
      </c>
      <c r="U41" s="144">
        <f t="shared" si="0"/>
        <v>13.285714285714286</v>
      </c>
      <c r="V41" s="144">
        <v>1.6631602033333299</v>
      </c>
      <c r="W41" s="288">
        <f t="shared" si="1"/>
        <v>154.67389890999968</v>
      </c>
      <c r="X41" s="284" t="str">
        <f t="shared" si="2"/>
        <v>No</v>
      </c>
      <c r="Y41" s="140">
        <v>7676.51</v>
      </c>
      <c r="Z41" s="169"/>
      <c r="AA41" s="154" t="s">
        <v>15</v>
      </c>
      <c r="AB41" s="103"/>
      <c r="AD41" s="2"/>
    </row>
    <row r="42" spans="2:30">
      <c r="B42" s="198">
        <v>2016</v>
      </c>
      <c r="C42" s="60" t="s">
        <v>50</v>
      </c>
      <c r="D42" s="204" t="s">
        <v>73</v>
      </c>
      <c r="F42" s="80">
        <v>341</v>
      </c>
      <c r="G42" s="160"/>
      <c r="H42" s="161"/>
      <c r="I42" s="142">
        <v>28.999999999999993</v>
      </c>
      <c r="J42" s="142">
        <v>44.067692307692312</v>
      </c>
      <c r="K42" s="142">
        <v>0</v>
      </c>
      <c r="L42" s="142">
        <v>0.99999999999999867</v>
      </c>
      <c r="M42" s="142">
        <v>2.0000000000000009</v>
      </c>
      <c r="N42" s="142">
        <v>2.0000000000000009</v>
      </c>
      <c r="O42" s="142">
        <v>89.999999999999844</v>
      </c>
      <c r="P42" s="143">
        <v>2.9999999999999996</v>
      </c>
      <c r="Q42" s="144">
        <v>91.88466042541944</v>
      </c>
      <c r="R42" s="144">
        <v>20.340350877192968</v>
      </c>
      <c r="S42" s="144">
        <v>0</v>
      </c>
      <c r="T42" s="144">
        <v>7</v>
      </c>
      <c r="U42" s="144">
        <f t="shared" si="0"/>
        <v>48.714285714285715</v>
      </c>
      <c r="V42" s="144">
        <v>0.42611656871344999</v>
      </c>
      <c r="W42" s="288">
        <f t="shared" si="1"/>
        <v>145.30574993128644</v>
      </c>
      <c r="X42" s="284" t="str">
        <f t="shared" si="2"/>
        <v>No</v>
      </c>
      <c r="Y42" s="140">
        <v>3866.68</v>
      </c>
      <c r="Z42" s="169"/>
      <c r="AA42" s="154" t="s">
        <v>15</v>
      </c>
      <c r="AB42" s="103"/>
      <c r="AD42" s="2"/>
    </row>
    <row r="43" spans="2:30">
      <c r="B43" s="198">
        <v>2169</v>
      </c>
      <c r="C43" s="60" t="s">
        <v>51</v>
      </c>
      <c r="D43" s="204"/>
      <c r="F43" s="80">
        <v>80</v>
      </c>
      <c r="G43" s="160"/>
      <c r="H43" s="161"/>
      <c r="I43" s="142">
        <v>8</v>
      </c>
      <c r="J43" s="142">
        <v>20.229885057471265</v>
      </c>
      <c r="K43" s="142">
        <v>0</v>
      </c>
      <c r="L43" s="142">
        <v>2</v>
      </c>
      <c r="M43" s="142">
        <v>0</v>
      </c>
      <c r="N43" s="142">
        <v>1</v>
      </c>
      <c r="O43" s="142">
        <v>0</v>
      </c>
      <c r="P43" s="143">
        <v>1</v>
      </c>
      <c r="Q43" s="144">
        <v>23.310450038138818</v>
      </c>
      <c r="R43" s="144">
        <v>1.1594202898550721</v>
      </c>
      <c r="S43" s="144">
        <v>0</v>
      </c>
      <c r="T43" s="144">
        <v>7</v>
      </c>
      <c r="U43" s="144">
        <f t="shared" si="0"/>
        <v>11.428571428571429</v>
      </c>
      <c r="V43" s="144">
        <v>1.2912367804123699</v>
      </c>
      <c r="W43" s="288">
        <f t="shared" si="1"/>
        <v>103.29894243298959</v>
      </c>
      <c r="X43" s="284" t="str">
        <f t="shared" si="2"/>
        <v>No</v>
      </c>
      <c r="Y43" s="140">
        <v>12240</v>
      </c>
      <c r="Z43" s="169"/>
      <c r="AA43" s="154" t="s">
        <v>15</v>
      </c>
      <c r="AB43" s="103"/>
      <c r="AD43" s="2"/>
    </row>
    <row r="44" spans="2:30">
      <c r="B44" s="198">
        <v>3401</v>
      </c>
      <c r="C44" s="60" t="s">
        <v>52</v>
      </c>
      <c r="D44" s="204"/>
      <c r="F44" s="80">
        <v>197</v>
      </c>
      <c r="G44" s="160"/>
      <c r="H44" s="161"/>
      <c r="I44" s="142">
        <v>31.000000000000089</v>
      </c>
      <c r="J44" s="142">
        <v>51.57068062827225</v>
      </c>
      <c r="K44" s="142">
        <v>0</v>
      </c>
      <c r="L44" s="142">
        <v>36.183673469387735</v>
      </c>
      <c r="M44" s="142">
        <v>4.0204081632653015</v>
      </c>
      <c r="N44" s="142">
        <v>0</v>
      </c>
      <c r="O44" s="142">
        <v>0</v>
      </c>
      <c r="P44" s="143">
        <v>81.413265306122454</v>
      </c>
      <c r="Q44" s="144">
        <v>74.656746031746053</v>
      </c>
      <c r="R44" s="144">
        <v>8.1117647058823543</v>
      </c>
      <c r="S44" s="144">
        <v>0</v>
      </c>
      <c r="T44" s="144">
        <v>7</v>
      </c>
      <c r="U44" s="144">
        <f t="shared" si="0"/>
        <v>28.142857142857142</v>
      </c>
      <c r="V44" s="144">
        <v>0.456835612106538</v>
      </c>
      <c r="W44" s="288">
        <f t="shared" si="1"/>
        <v>89.996615584987993</v>
      </c>
      <c r="X44" s="284" t="str">
        <f t="shared" si="2"/>
        <v>No</v>
      </c>
      <c r="Y44" s="140">
        <v>2757.86</v>
      </c>
      <c r="Z44" s="169"/>
      <c r="AA44" s="154" t="s">
        <v>15</v>
      </c>
      <c r="AB44" s="103"/>
      <c r="AD44" s="2"/>
    </row>
    <row r="45" spans="2:30">
      <c r="B45" s="198">
        <v>3002</v>
      </c>
      <c r="C45" s="60" t="s">
        <v>49</v>
      </c>
      <c r="D45" s="204"/>
      <c r="F45" s="80">
        <v>152</v>
      </c>
      <c r="G45" s="160"/>
      <c r="H45" s="161"/>
      <c r="I45" s="142">
        <v>18.000000000000007</v>
      </c>
      <c r="J45" s="142">
        <v>44.586666666666666</v>
      </c>
      <c r="K45" s="142">
        <v>0</v>
      </c>
      <c r="L45" s="142">
        <v>3.0000000000000062</v>
      </c>
      <c r="M45" s="142">
        <v>11.999999999999995</v>
      </c>
      <c r="N45" s="142">
        <v>3.0000000000000062</v>
      </c>
      <c r="O45" s="142">
        <v>0.99999999999999956</v>
      </c>
      <c r="P45" s="143">
        <v>61.999999999999957</v>
      </c>
      <c r="Q45" s="144">
        <v>45.402046511627887</v>
      </c>
      <c r="R45" s="144">
        <v>8.5120000000000005</v>
      </c>
      <c r="S45" s="144">
        <v>0</v>
      </c>
      <c r="T45" s="144">
        <v>7</v>
      </c>
      <c r="U45" s="144">
        <f t="shared" si="0"/>
        <v>21.714285714285715</v>
      </c>
      <c r="V45" s="144">
        <v>0.39477447976878599</v>
      </c>
      <c r="W45" s="288">
        <f t="shared" si="1"/>
        <v>60.005720924855467</v>
      </c>
      <c r="X45" s="284" t="str">
        <f t="shared" si="2"/>
        <v>No</v>
      </c>
      <c r="Y45" s="140">
        <v>23640</v>
      </c>
      <c r="Z45" s="140">
        <v>208115</v>
      </c>
      <c r="AA45" s="154" t="s">
        <v>15</v>
      </c>
      <c r="AB45" s="103"/>
      <c r="AD45" s="2"/>
    </row>
    <row r="46" spans="2:30">
      <c r="B46" s="198">
        <v>3402</v>
      </c>
      <c r="C46" s="60" t="s">
        <v>53</v>
      </c>
      <c r="D46" s="204"/>
      <c r="F46" s="80">
        <v>171</v>
      </c>
      <c r="G46" s="160"/>
      <c r="H46" s="161"/>
      <c r="I46" s="142">
        <v>11.000000000000007</v>
      </c>
      <c r="J46" s="142">
        <v>33.066298342541437</v>
      </c>
      <c r="K46" s="142">
        <v>0</v>
      </c>
      <c r="L46" s="142">
        <v>4.1204819277108475</v>
      </c>
      <c r="M46" s="142">
        <v>12.361445783132524</v>
      </c>
      <c r="N46" s="142">
        <v>1.030120481927711</v>
      </c>
      <c r="O46" s="142">
        <v>8.2409638554216951</v>
      </c>
      <c r="P46" s="143">
        <v>13.391566265060241</v>
      </c>
      <c r="Q46" s="144">
        <v>59.920529801324562</v>
      </c>
      <c r="R46" s="144">
        <v>37.370860927152336</v>
      </c>
      <c r="S46" s="144">
        <v>6.8999999999999222</v>
      </c>
      <c r="T46" s="144">
        <v>7</v>
      </c>
      <c r="U46" s="144">
        <f t="shared" si="0"/>
        <v>24.428571428571427</v>
      </c>
      <c r="V46" s="144">
        <v>0.27526901370967699</v>
      </c>
      <c r="W46" s="288">
        <f t="shared" si="1"/>
        <v>47.071001344354762</v>
      </c>
      <c r="X46" s="284" t="str">
        <f t="shared" si="2"/>
        <v>No</v>
      </c>
      <c r="Y46" s="140">
        <v>2871.58</v>
      </c>
      <c r="Z46" s="169"/>
      <c r="AA46" s="154" t="s">
        <v>15</v>
      </c>
      <c r="AB46" s="103"/>
      <c r="AD46" s="2"/>
    </row>
    <row r="47" spans="2:30">
      <c r="B47" s="198">
        <v>3305</v>
      </c>
      <c r="C47" s="60" t="s">
        <v>67</v>
      </c>
      <c r="D47" s="204"/>
      <c r="F47" s="80">
        <v>194</v>
      </c>
      <c r="G47" s="160"/>
      <c r="H47" s="161"/>
      <c r="I47" s="142">
        <v>39.000000000000085</v>
      </c>
      <c r="J47" s="142">
        <v>83.142857142857139</v>
      </c>
      <c r="K47" s="142">
        <v>0</v>
      </c>
      <c r="L47" s="142">
        <v>53.000000000000036</v>
      </c>
      <c r="M47" s="142">
        <v>18.000000000000007</v>
      </c>
      <c r="N47" s="142">
        <v>0</v>
      </c>
      <c r="O47" s="142">
        <v>0</v>
      </c>
      <c r="P47" s="143">
        <v>27.999999999999908</v>
      </c>
      <c r="Q47" s="144">
        <v>87.000752050555079</v>
      </c>
      <c r="R47" s="144">
        <v>24.84146341463417</v>
      </c>
      <c r="S47" s="144">
        <v>1.599999999999927</v>
      </c>
      <c r="T47" s="144">
        <v>7</v>
      </c>
      <c r="U47" s="144">
        <f t="shared" si="0"/>
        <v>27.714285714285715</v>
      </c>
      <c r="V47" s="144">
        <v>0.46015067976190499</v>
      </c>
      <c r="W47" s="288">
        <f t="shared" si="1"/>
        <v>89.269231873809574</v>
      </c>
      <c r="X47" s="284" t="str">
        <f t="shared" si="2"/>
        <v>No</v>
      </c>
      <c r="Y47" s="140">
        <v>4604.8900000000003</v>
      </c>
      <c r="Z47" s="169"/>
      <c r="AA47" s="154" t="s">
        <v>15</v>
      </c>
      <c r="AB47" s="103"/>
      <c r="AD47" s="2"/>
    </row>
    <row r="48" spans="2:30">
      <c r="B48" s="198">
        <v>3222</v>
      </c>
      <c r="C48" s="60" t="s">
        <v>54</v>
      </c>
      <c r="D48" s="204"/>
      <c r="F48" s="80">
        <v>119</v>
      </c>
      <c r="G48" s="160"/>
      <c r="H48" s="161"/>
      <c r="I48" s="142">
        <v>0.99999999999999933</v>
      </c>
      <c r="J48" s="142">
        <v>5.3603603603603602</v>
      </c>
      <c r="K48" s="142">
        <v>0</v>
      </c>
      <c r="L48" s="142">
        <v>0</v>
      </c>
      <c r="M48" s="142">
        <v>0</v>
      </c>
      <c r="N48" s="142">
        <v>0</v>
      </c>
      <c r="O48" s="142">
        <v>0</v>
      </c>
      <c r="P48" s="143">
        <v>2.0169491525423751</v>
      </c>
      <c r="Q48" s="144">
        <v>31.352490421455908</v>
      </c>
      <c r="R48" s="144">
        <v>0</v>
      </c>
      <c r="S48" s="144">
        <v>0</v>
      </c>
      <c r="T48" s="144">
        <v>7</v>
      </c>
      <c r="U48" s="144">
        <f t="shared" si="0"/>
        <v>17</v>
      </c>
      <c r="V48" s="144">
        <v>1.9607757952381</v>
      </c>
      <c r="W48" s="288">
        <f t="shared" si="1"/>
        <v>233.3323196333339</v>
      </c>
      <c r="X48" s="284" t="str">
        <f t="shared" si="2"/>
        <v>No</v>
      </c>
      <c r="Y48" s="140">
        <v>8585.51</v>
      </c>
      <c r="Z48" s="169"/>
      <c r="AA48" s="154" t="s">
        <v>15</v>
      </c>
      <c r="AB48" s="103"/>
      <c r="AD48" s="2"/>
    </row>
    <row r="49" spans="2:30">
      <c r="B49" s="198">
        <v>3156</v>
      </c>
      <c r="C49" s="60" t="s">
        <v>55</v>
      </c>
      <c r="D49" s="204"/>
      <c r="F49" s="80">
        <v>307</v>
      </c>
      <c r="G49" s="160"/>
      <c r="H49" s="161"/>
      <c r="I49" s="142">
        <v>7.9999999999999982</v>
      </c>
      <c r="J49" s="142">
        <v>31.792880258899679</v>
      </c>
      <c r="K49" s="142">
        <v>0</v>
      </c>
      <c r="L49" s="142">
        <v>0</v>
      </c>
      <c r="M49" s="142">
        <v>2.0197368421052624</v>
      </c>
      <c r="N49" s="142">
        <v>0</v>
      </c>
      <c r="O49" s="142">
        <v>0</v>
      </c>
      <c r="P49" s="143">
        <v>3.0296052631578951</v>
      </c>
      <c r="Q49" s="144">
        <v>77.049448685326595</v>
      </c>
      <c r="R49" s="144">
        <v>55.072519083969397</v>
      </c>
      <c r="S49" s="144">
        <v>8.3000000000001517</v>
      </c>
      <c r="T49" s="144">
        <v>7</v>
      </c>
      <c r="U49" s="144">
        <f t="shared" si="0"/>
        <v>43.857142857142854</v>
      </c>
      <c r="V49" s="144">
        <v>0.88249280339425595</v>
      </c>
      <c r="W49" s="288">
        <f t="shared" si="1"/>
        <v>270.9252906420366</v>
      </c>
      <c r="X49" s="284" t="str">
        <f t="shared" si="2"/>
        <v>No</v>
      </c>
      <c r="Y49" s="140">
        <v>39120</v>
      </c>
      <c r="Z49" s="140">
        <v>313824</v>
      </c>
      <c r="AA49" s="154" t="s">
        <v>15</v>
      </c>
      <c r="AB49" s="103"/>
      <c r="AD49" s="2"/>
    </row>
    <row r="50" spans="2:30">
      <c r="B50" s="198">
        <v>3003</v>
      </c>
      <c r="C50" s="60" t="s">
        <v>56</v>
      </c>
      <c r="D50" s="204"/>
      <c r="F50" s="80">
        <v>172</v>
      </c>
      <c r="G50" s="160"/>
      <c r="H50" s="161"/>
      <c r="I50" s="142">
        <v>9.9999999999999947</v>
      </c>
      <c r="J50" s="142">
        <v>20</v>
      </c>
      <c r="K50" s="142">
        <v>0</v>
      </c>
      <c r="L50" s="142">
        <v>0</v>
      </c>
      <c r="M50" s="142">
        <v>2.0116959064327418</v>
      </c>
      <c r="N50" s="142">
        <v>2.0116959064327418</v>
      </c>
      <c r="O50" s="142">
        <v>12.070175438596486</v>
      </c>
      <c r="P50" s="143">
        <v>4.0233918128655013</v>
      </c>
      <c r="Q50" s="144">
        <v>42.882595214956737</v>
      </c>
      <c r="R50" s="144">
        <v>11.700680272108837</v>
      </c>
      <c r="S50" s="144">
        <v>0</v>
      </c>
      <c r="T50" s="144">
        <v>7</v>
      </c>
      <c r="U50" s="144">
        <f t="shared" si="0"/>
        <v>24.571428571428573</v>
      </c>
      <c r="V50" s="144">
        <v>0.36744753653846102</v>
      </c>
      <c r="W50" s="288">
        <f t="shared" si="1"/>
        <v>63.200976284615294</v>
      </c>
      <c r="X50" s="284" t="str">
        <f t="shared" si="2"/>
        <v>No</v>
      </c>
      <c r="Y50" s="140">
        <v>6791.53</v>
      </c>
      <c r="Z50" s="169"/>
      <c r="AA50" s="154" t="s">
        <v>15</v>
      </c>
      <c r="AB50" s="103"/>
      <c r="AD50" s="2"/>
    </row>
    <row r="51" spans="2:30">
      <c r="B51" s="198">
        <v>3403</v>
      </c>
      <c r="C51" s="60" t="s">
        <v>68</v>
      </c>
      <c r="D51" s="204"/>
      <c r="F51" s="80">
        <v>263</v>
      </c>
      <c r="G51" s="160"/>
      <c r="H51" s="161"/>
      <c r="I51" s="142">
        <v>10.999999999999995</v>
      </c>
      <c r="J51" s="142">
        <v>28.565543071161049</v>
      </c>
      <c r="K51" s="142">
        <v>0</v>
      </c>
      <c r="L51" s="142">
        <v>5.1167315175097174</v>
      </c>
      <c r="M51" s="142">
        <v>3.0700389105058461</v>
      </c>
      <c r="N51" s="142">
        <v>22.513618677042796</v>
      </c>
      <c r="O51" s="142">
        <v>2.0466926070038927</v>
      </c>
      <c r="P51" s="143">
        <v>51.167315175097173</v>
      </c>
      <c r="Q51" s="144">
        <v>97.144244840941411</v>
      </c>
      <c r="R51" s="144">
        <v>62.227678571428605</v>
      </c>
      <c r="S51" s="144">
        <v>0</v>
      </c>
      <c r="T51" s="144">
        <v>7</v>
      </c>
      <c r="U51" s="144">
        <f t="shared" si="0"/>
        <v>37.571428571428569</v>
      </c>
      <c r="V51" s="144">
        <v>0.30932464583333302</v>
      </c>
      <c r="W51" s="288">
        <f t="shared" si="1"/>
        <v>81.35238185416658</v>
      </c>
      <c r="X51" s="284" t="str">
        <f t="shared" si="2"/>
        <v>No</v>
      </c>
      <c r="Y51" s="140">
        <v>3672</v>
      </c>
      <c r="Z51" s="169"/>
      <c r="AA51" s="154" t="s">
        <v>15</v>
      </c>
      <c r="AB51" s="103"/>
      <c r="AD51" s="2"/>
    </row>
    <row r="52" spans="2:30">
      <c r="B52" s="198">
        <v>2227</v>
      </c>
      <c r="C52" s="60" t="s">
        <v>57</v>
      </c>
      <c r="D52" s="204"/>
      <c r="F52" s="80">
        <v>92</v>
      </c>
      <c r="G52" s="160"/>
      <c r="H52" s="161"/>
      <c r="I52" s="142">
        <v>3.9999999999999987</v>
      </c>
      <c r="J52" s="142">
        <v>14.311111111111112</v>
      </c>
      <c r="K52" s="142">
        <v>0</v>
      </c>
      <c r="L52" s="142">
        <v>0.99999999999999967</v>
      </c>
      <c r="M52" s="142">
        <v>0</v>
      </c>
      <c r="N52" s="142">
        <v>1.9999999999999993</v>
      </c>
      <c r="O52" s="142">
        <v>0</v>
      </c>
      <c r="P52" s="143">
        <v>5.9999999999999973</v>
      </c>
      <c r="Q52" s="144">
        <v>38.823308270676712</v>
      </c>
      <c r="R52" s="144">
        <v>0</v>
      </c>
      <c r="S52" s="144">
        <v>0</v>
      </c>
      <c r="T52" s="144">
        <v>7</v>
      </c>
      <c r="U52" s="144">
        <f t="shared" si="0"/>
        <v>13.142857142857142</v>
      </c>
      <c r="V52" s="144">
        <v>1.2969267333333301</v>
      </c>
      <c r="W52" s="288">
        <f t="shared" si="1"/>
        <v>119.31725946666637</v>
      </c>
      <c r="X52" s="284" t="str">
        <f t="shared" si="2"/>
        <v>No</v>
      </c>
      <c r="Y52" s="140">
        <v>6681.4</v>
      </c>
      <c r="Z52" s="169"/>
      <c r="AA52" s="154" t="s">
        <v>15</v>
      </c>
      <c r="AB52" s="103"/>
      <c r="AD52" s="2"/>
    </row>
    <row r="53" spans="2:30">
      <c r="B53" s="198">
        <v>2429</v>
      </c>
      <c r="C53" s="60" t="s">
        <v>58</v>
      </c>
      <c r="D53" s="204" t="s">
        <v>70</v>
      </c>
      <c r="F53" s="80">
        <v>191</v>
      </c>
      <c r="G53" s="160"/>
      <c r="H53" s="161"/>
      <c r="I53" s="142">
        <v>41.999999999999964</v>
      </c>
      <c r="J53" s="142">
        <v>96.693749999999994</v>
      </c>
      <c r="K53" s="142">
        <v>0</v>
      </c>
      <c r="L53" s="142">
        <v>40.999999999999929</v>
      </c>
      <c r="M53" s="142">
        <v>7.9999999999999991</v>
      </c>
      <c r="N53" s="142">
        <v>7.0000000000000071</v>
      </c>
      <c r="O53" s="142">
        <v>0</v>
      </c>
      <c r="P53" s="143">
        <v>109.99999999999997</v>
      </c>
      <c r="Q53" s="144">
        <v>76.007337050287802</v>
      </c>
      <c r="R53" s="144">
        <v>21.898089171974444</v>
      </c>
      <c r="S53" s="144">
        <v>20.900000000000095</v>
      </c>
      <c r="T53" s="144">
        <v>7</v>
      </c>
      <c r="U53" s="144">
        <f t="shared" si="0"/>
        <v>27.285714285714285</v>
      </c>
      <c r="V53" s="144">
        <v>0.36480650386100399</v>
      </c>
      <c r="W53" s="288">
        <f t="shared" si="1"/>
        <v>69.678042237451763</v>
      </c>
      <c r="X53" s="284" t="str">
        <f t="shared" si="2"/>
        <v>No</v>
      </c>
      <c r="Y53" s="140">
        <v>13758.08</v>
      </c>
      <c r="Z53" s="169"/>
      <c r="AA53" s="154" t="s">
        <v>15</v>
      </c>
      <c r="AB53" s="103"/>
      <c r="AD53" s="2"/>
    </row>
    <row r="54" spans="2:30">
      <c r="B54" s="198">
        <v>2017</v>
      </c>
      <c r="C54" s="60" t="s">
        <v>59</v>
      </c>
      <c r="D54" s="204"/>
      <c r="F54" s="80">
        <v>524</v>
      </c>
      <c r="G54" s="160"/>
      <c r="H54" s="161"/>
      <c r="I54" s="142">
        <v>74.000000000000256</v>
      </c>
      <c r="J54" s="142">
        <v>200.7258064516129</v>
      </c>
      <c r="K54" s="142">
        <v>0</v>
      </c>
      <c r="L54" s="142">
        <v>0</v>
      </c>
      <c r="M54" s="142">
        <v>45.172413793103431</v>
      </c>
      <c r="N54" s="142">
        <v>177.67816091954023</v>
      </c>
      <c r="O54" s="142">
        <v>0</v>
      </c>
      <c r="P54" s="143">
        <v>75.287356321838956</v>
      </c>
      <c r="Q54" s="144">
        <v>209.20219458124043</v>
      </c>
      <c r="R54" s="144">
        <v>13.281105990783427</v>
      </c>
      <c r="S54" s="144">
        <v>0</v>
      </c>
      <c r="T54" s="144">
        <v>7</v>
      </c>
      <c r="U54" s="144">
        <f t="shared" si="0"/>
        <v>74.857142857142861</v>
      </c>
      <c r="V54" s="144">
        <v>0.70786725228658598</v>
      </c>
      <c r="W54" s="288">
        <f t="shared" si="1"/>
        <v>370.92244019817105</v>
      </c>
      <c r="X54" s="284" t="str">
        <f t="shared" si="2"/>
        <v>No</v>
      </c>
      <c r="Y54" s="140">
        <v>38374.050000000003</v>
      </c>
      <c r="Z54" s="169"/>
      <c r="AA54" s="154" t="s">
        <v>15</v>
      </c>
      <c r="AB54" s="103"/>
      <c r="AD54" s="2"/>
    </row>
    <row r="55" spans="2:30">
      <c r="B55" s="198">
        <v>3380</v>
      </c>
      <c r="C55" s="60" t="s">
        <v>60</v>
      </c>
      <c r="D55" s="204"/>
      <c r="F55" s="80">
        <v>226</v>
      </c>
      <c r="G55" s="160"/>
      <c r="H55" s="161"/>
      <c r="I55" s="142">
        <v>1.9999999999999991</v>
      </c>
      <c r="J55" s="142">
        <v>10.134529147982063</v>
      </c>
      <c r="K55" s="142">
        <v>0</v>
      </c>
      <c r="L55" s="142">
        <v>0</v>
      </c>
      <c r="M55" s="142">
        <v>0</v>
      </c>
      <c r="N55" s="142">
        <v>0</v>
      </c>
      <c r="O55" s="142">
        <v>0</v>
      </c>
      <c r="P55" s="143">
        <v>0</v>
      </c>
      <c r="Q55" s="144">
        <v>32.659581218274113</v>
      </c>
      <c r="R55" s="144">
        <v>0</v>
      </c>
      <c r="S55" s="144">
        <v>0</v>
      </c>
      <c r="T55" s="144">
        <v>7</v>
      </c>
      <c r="U55" s="144">
        <f t="shared" si="0"/>
        <v>32.285714285714285</v>
      </c>
      <c r="V55" s="144">
        <v>2.3182024818181799</v>
      </c>
      <c r="W55" s="288">
        <f t="shared" si="1"/>
        <v>523.91376089090863</v>
      </c>
      <c r="X55" s="284" t="str">
        <f t="shared" si="2"/>
        <v>No</v>
      </c>
      <c r="Y55" s="140">
        <v>4248</v>
      </c>
      <c r="Z55" s="169"/>
      <c r="AA55" s="154" t="s">
        <v>15</v>
      </c>
      <c r="AB55" s="103"/>
      <c r="AD55" s="2"/>
    </row>
    <row r="56" spans="2:30">
      <c r="B56" s="198">
        <v>2240</v>
      </c>
      <c r="C56" s="60" t="s">
        <v>61</v>
      </c>
      <c r="D56" s="204"/>
      <c r="F56" s="80">
        <v>271</v>
      </c>
      <c r="G56" s="160"/>
      <c r="H56" s="161"/>
      <c r="I56" s="142">
        <v>3.999999999999996</v>
      </c>
      <c r="J56" s="142">
        <v>18.588447653429604</v>
      </c>
      <c r="K56" s="142">
        <v>0</v>
      </c>
      <c r="L56" s="142">
        <v>1.0226415094339629</v>
      </c>
      <c r="M56" s="142">
        <v>0</v>
      </c>
      <c r="N56" s="142">
        <v>1.0226415094339629</v>
      </c>
      <c r="O56" s="142">
        <v>4.0905660377358464</v>
      </c>
      <c r="P56" s="143">
        <v>2.0452830188679232</v>
      </c>
      <c r="Q56" s="144">
        <v>48.79717660616538</v>
      </c>
      <c r="R56" s="144">
        <v>0</v>
      </c>
      <c r="S56" s="144">
        <v>0</v>
      </c>
      <c r="T56" s="144">
        <v>7</v>
      </c>
      <c r="U56" s="144">
        <f t="shared" si="0"/>
        <v>38.714285714285715</v>
      </c>
      <c r="V56" s="144">
        <v>0.707324205454546</v>
      </c>
      <c r="W56" s="288">
        <f t="shared" si="1"/>
        <v>191.68485967818197</v>
      </c>
      <c r="X56" s="284" t="str">
        <f t="shared" si="2"/>
        <v>No</v>
      </c>
      <c r="Y56" s="140">
        <v>12936.34</v>
      </c>
      <c r="Z56" s="169"/>
      <c r="AA56" s="154" t="s">
        <v>15</v>
      </c>
      <c r="AB56" s="103"/>
      <c r="AD56" s="2"/>
    </row>
    <row r="57" spans="2:30">
      <c r="B57" s="198">
        <v>2027</v>
      </c>
      <c r="C57" s="60" t="s">
        <v>62</v>
      </c>
      <c r="D57" s="204" t="s">
        <v>73</v>
      </c>
      <c r="F57" s="80">
        <v>391</v>
      </c>
      <c r="G57" s="160"/>
      <c r="H57" s="161"/>
      <c r="I57" s="142">
        <v>44.999999999999936</v>
      </c>
      <c r="J57" s="142">
        <v>111.41397849462366</v>
      </c>
      <c r="K57" s="142">
        <v>0</v>
      </c>
      <c r="L57" s="142">
        <v>0</v>
      </c>
      <c r="M57" s="142">
        <v>95.963446475195894</v>
      </c>
      <c r="N57" s="142">
        <v>20.417754569190613</v>
      </c>
      <c r="O57" s="142">
        <v>0</v>
      </c>
      <c r="P57" s="143">
        <v>37.772845953002623</v>
      </c>
      <c r="Q57" s="144">
        <v>136.32354102909474</v>
      </c>
      <c r="R57" s="144">
        <v>8.2939393939393895</v>
      </c>
      <c r="S57" s="144">
        <v>0</v>
      </c>
      <c r="T57" s="144">
        <v>7</v>
      </c>
      <c r="U57" s="144">
        <f t="shared" si="0"/>
        <v>55.857142857142854</v>
      </c>
      <c r="V57" s="144">
        <v>0.69674371286231895</v>
      </c>
      <c r="W57" s="288">
        <f t="shared" si="1"/>
        <v>272.42679172916672</v>
      </c>
      <c r="X57" s="284" t="str">
        <f t="shared" si="2"/>
        <v>No</v>
      </c>
      <c r="Y57" s="140">
        <v>24735.41</v>
      </c>
      <c r="Z57" s="169"/>
      <c r="AA57" s="154" t="s">
        <v>15</v>
      </c>
      <c r="AB57" s="103"/>
      <c r="AD57" s="2"/>
    </row>
    <row r="58" spans="2:30">
      <c r="B58" s="198">
        <v>2015</v>
      </c>
      <c r="C58" s="60" t="s">
        <v>63</v>
      </c>
      <c r="D58" s="204"/>
      <c r="F58" s="80">
        <v>367</v>
      </c>
      <c r="G58" s="160"/>
      <c r="H58" s="161"/>
      <c r="I58" s="142">
        <v>55.000000000000128</v>
      </c>
      <c r="J58" s="142">
        <v>114.15406976744185</v>
      </c>
      <c r="K58" s="142">
        <v>0</v>
      </c>
      <c r="L58" s="142">
        <v>0</v>
      </c>
      <c r="M58" s="142">
        <v>1.0027322404371584</v>
      </c>
      <c r="N58" s="142">
        <v>98.267759562841519</v>
      </c>
      <c r="O58" s="142">
        <v>1.0027322404371584</v>
      </c>
      <c r="P58" s="143">
        <v>78.213114754098484</v>
      </c>
      <c r="Q58" s="144">
        <v>138.24042205660254</v>
      </c>
      <c r="R58" s="144">
        <v>26.88216560509554</v>
      </c>
      <c r="S58" s="144">
        <v>1.2999999999999734</v>
      </c>
      <c r="T58" s="144">
        <v>7</v>
      </c>
      <c r="U58" s="144">
        <f t="shared" si="0"/>
        <v>52.428571428571431</v>
      </c>
      <c r="V58" s="144">
        <v>0.63669407721739102</v>
      </c>
      <c r="W58" s="288">
        <f t="shared" si="1"/>
        <v>233.6667263387825</v>
      </c>
      <c r="X58" s="284" t="str">
        <f t="shared" si="2"/>
        <v>No</v>
      </c>
      <c r="Y58" s="140">
        <v>18622.64</v>
      </c>
      <c r="Z58" s="169"/>
      <c r="AA58" s="154" t="s">
        <v>15</v>
      </c>
      <c r="AB58" s="103"/>
      <c r="AD58" s="2"/>
    </row>
    <row r="59" spans="2:30" ht="5.0999999999999996" customHeight="1">
      <c r="B59" s="198"/>
      <c r="C59" s="60"/>
      <c r="D59" s="204"/>
      <c r="F59" s="80"/>
      <c r="G59" s="81"/>
      <c r="H59" s="122"/>
      <c r="I59" s="81"/>
      <c r="J59" s="81"/>
      <c r="K59" s="81"/>
      <c r="L59" s="81"/>
      <c r="M59" s="81"/>
      <c r="N59" s="81"/>
      <c r="O59" s="108"/>
      <c r="P59" s="135"/>
      <c r="Q59" s="140"/>
      <c r="R59" s="140"/>
      <c r="S59" s="140"/>
      <c r="T59" s="140"/>
      <c r="U59" s="140"/>
      <c r="V59" s="140"/>
      <c r="W59" s="289"/>
      <c r="X59" s="140"/>
      <c r="Y59" s="140"/>
      <c r="Z59" s="140"/>
      <c r="AA59" s="82"/>
      <c r="AB59" s="103"/>
      <c r="AD59" s="2"/>
    </row>
    <row r="60" spans="2:30" s="104" customFormat="1" ht="15.75">
      <c r="B60" s="205"/>
      <c r="C60" s="85" t="s">
        <v>167</v>
      </c>
      <c r="D60" s="206"/>
      <c r="E60" s="86"/>
      <c r="F60" s="87">
        <f>SUM(F8:F59)</f>
        <v>13722</v>
      </c>
      <c r="G60" s="88">
        <f>SUM(G8:G59)</f>
        <v>0</v>
      </c>
      <c r="H60" s="123">
        <f>SUM(H8:H59)</f>
        <v>0</v>
      </c>
      <c r="I60" s="145">
        <f t="shared" ref="I60:T60" si="3">SUM(I8:I59)</f>
        <v>1109.0000000000007</v>
      </c>
      <c r="J60" s="145">
        <f t="shared" si="3"/>
        <v>2313.8892619182589</v>
      </c>
      <c r="K60" s="145">
        <f t="shared" si="3"/>
        <v>0</v>
      </c>
      <c r="L60" s="145">
        <f t="shared" si="3"/>
        <v>427.24515574312488</v>
      </c>
      <c r="M60" s="145">
        <f t="shared" si="3"/>
        <v>579.42431710246751</v>
      </c>
      <c r="N60" s="145">
        <f t="shared" si="3"/>
        <v>743.0441372388824</v>
      </c>
      <c r="O60" s="145">
        <f t="shared" si="3"/>
        <v>249.90225247625946</v>
      </c>
      <c r="P60" s="146">
        <f t="shared" si="3"/>
        <v>1380.5248035344748</v>
      </c>
      <c r="Q60" s="147">
        <f t="shared" si="3"/>
        <v>3892.5934690861518</v>
      </c>
      <c r="R60" s="147">
        <f t="shared" si="3"/>
        <v>788.76443395125125</v>
      </c>
      <c r="S60" s="147">
        <f t="shared" ref="S60" si="4">SUM(S8:S59)</f>
        <v>72.500000000000199</v>
      </c>
      <c r="T60" s="147">
        <f t="shared" si="3"/>
        <v>336</v>
      </c>
      <c r="U60" s="147">
        <f t="shared" si="0"/>
        <v>40.839285714285715</v>
      </c>
      <c r="V60" s="147">
        <f>W60/SUM(F60:H60)</f>
        <v>0.75115585164163479</v>
      </c>
      <c r="W60" s="290">
        <f t="shared" ref="W60" si="5">SUM(W8:W59)</f>
        <v>10307.360596226512</v>
      </c>
      <c r="X60" s="155"/>
      <c r="Y60" s="130">
        <f>SUM(Y8:Y59)</f>
        <v>738826.89</v>
      </c>
      <c r="Z60" s="130">
        <f>SUM(Z8:Z59)</f>
        <v>757779</v>
      </c>
      <c r="AA60" s="156"/>
      <c r="AB60" s="103"/>
      <c r="AC60" s="2"/>
      <c r="AD60" s="2"/>
    </row>
    <row r="61" spans="2:30" ht="24.95" customHeight="1">
      <c r="B61" s="198"/>
      <c r="C61" s="92" t="s">
        <v>168</v>
      </c>
      <c r="D61" s="207"/>
      <c r="E61" s="92"/>
      <c r="F61" s="80"/>
      <c r="G61" s="81"/>
      <c r="H61" s="122"/>
      <c r="I61" s="81"/>
      <c r="J61" s="81"/>
      <c r="K61" s="81"/>
      <c r="L61" s="81"/>
      <c r="M61" s="81"/>
      <c r="N61" s="81"/>
      <c r="O61" s="81"/>
      <c r="P61" s="122"/>
      <c r="Q61" s="140"/>
      <c r="R61" s="140"/>
      <c r="S61" s="140"/>
      <c r="T61" s="140"/>
      <c r="U61" s="140"/>
      <c r="V61" s="140"/>
      <c r="W61" s="289"/>
      <c r="X61" s="140"/>
      <c r="Y61" s="140"/>
      <c r="Z61" s="140"/>
      <c r="AA61" s="82"/>
      <c r="AB61" s="103"/>
      <c r="AD61" s="2"/>
    </row>
    <row r="62" spans="2:30">
      <c r="B62" s="198">
        <v>4702</v>
      </c>
      <c r="C62" s="60" t="s">
        <v>10</v>
      </c>
      <c r="D62" s="204"/>
      <c r="F62" s="159"/>
      <c r="G62" s="81">
        <v>522</v>
      </c>
      <c r="H62" s="122">
        <v>370</v>
      </c>
      <c r="I62" s="142">
        <v>44.000000000000007</v>
      </c>
      <c r="J62" s="142">
        <v>118.79909706546275</v>
      </c>
      <c r="K62" s="142">
        <v>0</v>
      </c>
      <c r="L62" s="142">
        <v>14.094808126410864</v>
      </c>
      <c r="M62" s="142">
        <v>24.162528216704299</v>
      </c>
      <c r="N62" s="142">
        <v>29.196388261851016</v>
      </c>
      <c r="O62" s="142">
        <v>22.148984198645628</v>
      </c>
      <c r="P62" s="143">
        <v>100.67720090293435</v>
      </c>
      <c r="Q62" s="144">
        <v>148.48492439375508</v>
      </c>
      <c r="R62" s="144">
        <v>29.130630630630666</v>
      </c>
      <c r="S62" s="144">
        <v>0</v>
      </c>
      <c r="T62" s="144">
        <v>5</v>
      </c>
      <c r="U62" s="144">
        <f t="shared" ref="U62:U74" si="6">SUM(F62:H62)/T62</f>
        <v>178.4</v>
      </c>
      <c r="V62" s="144">
        <v>0.72860359170506905</v>
      </c>
      <c r="W62" s="288">
        <f t="shared" ref="W62:W70" si="7">V62*SUM(F62:H62)</f>
        <v>649.9144038009216</v>
      </c>
      <c r="X62" s="284" t="str">
        <f>IF(AND(U62&lt;=U$77,V62&gt;=V$77),"Yes","No")</f>
        <v>No</v>
      </c>
      <c r="Y62" s="140">
        <v>23801.78</v>
      </c>
      <c r="Z62" s="169"/>
      <c r="AA62" s="154" t="s">
        <v>69</v>
      </c>
      <c r="AB62" s="103"/>
      <c r="AD62" s="2"/>
    </row>
    <row r="63" spans="2:30">
      <c r="B63" s="198">
        <v>4500</v>
      </c>
      <c r="C63" s="60" t="s">
        <v>12</v>
      </c>
      <c r="D63" s="204" t="s">
        <v>70</v>
      </c>
      <c r="F63" s="159"/>
      <c r="G63" s="81">
        <v>733</v>
      </c>
      <c r="H63" s="122">
        <v>386</v>
      </c>
      <c r="I63" s="142">
        <v>101</v>
      </c>
      <c r="J63" s="142">
        <v>225.98341463414636</v>
      </c>
      <c r="K63" s="142">
        <v>0</v>
      </c>
      <c r="L63" s="142">
        <v>101.18084153983882</v>
      </c>
      <c r="M63" s="142">
        <v>11.019695613249773</v>
      </c>
      <c r="N63" s="142">
        <v>8.0143240823634798</v>
      </c>
      <c r="O63" s="142">
        <v>3.0053715308863049</v>
      </c>
      <c r="P63" s="143">
        <v>240.42972247090438</v>
      </c>
      <c r="Q63" s="144">
        <v>257.15460255624771</v>
      </c>
      <c r="R63" s="144">
        <v>28.025044722719116</v>
      </c>
      <c r="S63" s="144">
        <v>0</v>
      </c>
      <c r="T63" s="144">
        <v>5</v>
      </c>
      <c r="U63" s="144">
        <f t="shared" si="6"/>
        <v>223.8</v>
      </c>
      <c r="V63" s="144">
        <v>2.9883521126494599</v>
      </c>
      <c r="W63" s="288">
        <f t="shared" si="7"/>
        <v>3343.9660140547458</v>
      </c>
      <c r="X63" s="284" t="str">
        <f t="shared" ref="X63:X70" si="8">IF(AND(U63&lt;=U$77,V63&gt;=V$77),"Yes","No")</f>
        <v>No</v>
      </c>
      <c r="Y63" s="140">
        <v>36112.06</v>
      </c>
      <c r="Z63" s="169"/>
      <c r="AA63" s="154" t="s">
        <v>15</v>
      </c>
      <c r="AB63" s="103"/>
      <c r="AD63" s="2"/>
    </row>
    <row r="64" spans="2:30">
      <c r="B64" s="198">
        <v>4153</v>
      </c>
      <c r="C64" s="60" t="s">
        <v>7</v>
      </c>
      <c r="D64" s="204"/>
      <c r="F64" s="159"/>
      <c r="G64" s="81">
        <v>680</v>
      </c>
      <c r="H64" s="122">
        <v>419</v>
      </c>
      <c r="I64" s="142">
        <v>32.000000000000028</v>
      </c>
      <c r="J64" s="142">
        <v>81.107011070110701</v>
      </c>
      <c r="K64" s="142">
        <v>0</v>
      </c>
      <c r="L64" s="142">
        <v>1.0018231540565179</v>
      </c>
      <c r="M64" s="142">
        <v>9.0164083865086582</v>
      </c>
      <c r="N64" s="142">
        <v>0</v>
      </c>
      <c r="O64" s="142">
        <v>1.0018231540565179</v>
      </c>
      <c r="P64" s="143">
        <v>5.0091157702825893</v>
      </c>
      <c r="Q64" s="144">
        <v>172.18750698406129</v>
      </c>
      <c r="R64" s="144">
        <v>10.064102564102566</v>
      </c>
      <c r="S64" s="144">
        <v>0</v>
      </c>
      <c r="T64" s="144">
        <v>5</v>
      </c>
      <c r="U64" s="144">
        <f t="shared" si="6"/>
        <v>219.8</v>
      </c>
      <c r="V64" s="144">
        <v>2.2294207332203402</v>
      </c>
      <c r="W64" s="288">
        <f t="shared" si="7"/>
        <v>2450.1333858091539</v>
      </c>
      <c r="X64" s="284" t="str">
        <f t="shared" si="8"/>
        <v>No</v>
      </c>
      <c r="Y64" s="140">
        <v>144205.85999999999</v>
      </c>
      <c r="Z64" s="169"/>
      <c r="AA64" s="154" t="s">
        <v>15</v>
      </c>
      <c r="AB64" s="103"/>
      <c r="AD64" s="2"/>
    </row>
    <row r="65" spans="2:30">
      <c r="B65" s="198">
        <v>4063</v>
      </c>
      <c r="C65" s="60" t="s">
        <v>35</v>
      </c>
      <c r="D65" s="204"/>
      <c r="F65" s="159"/>
      <c r="G65" s="81">
        <v>727</v>
      </c>
      <c r="H65" s="122">
        <v>454</v>
      </c>
      <c r="I65" s="142">
        <v>61.000000000000014</v>
      </c>
      <c r="J65" s="142">
        <v>205.52467532467531</v>
      </c>
      <c r="K65" s="142">
        <v>0</v>
      </c>
      <c r="L65" s="142">
        <v>10.025466893039056</v>
      </c>
      <c r="M65" s="142">
        <v>2.0050933786078109</v>
      </c>
      <c r="N65" s="142">
        <v>60.152801358234328</v>
      </c>
      <c r="O65" s="142">
        <v>22.056027164685862</v>
      </c>
      <c r="P65" s="143">
        <v>59.150254668930394</v>
      </c>
      <c r="Q65" s="144">
        <v>200.51719354111174</v>
      </c>
      <c r="R65" s="144">
        <v>11.028013582342954</v>
      </c>
      <c r="S65" s="144">
        <v>0</v>
      </c>
      <c r="T65" s="144">
        <v>5</v>
      </c>
      <c r="U65" s="144">
        <f t="shared" si="6"/>
        <v>236.2</v>
      </c>
      <c r="V65" s="144">
        <v>1.1904489646090499</v>
      </c>
      <c r="W65" s="288">
        <f t="shared" si="7"/>
        <v>1405.9202272032881</v>
      </c>
      <c r="X65" s="284" t="str">
        <f t="shared" si="8"/>
        <v>No</v>
      </c>
      <c r="Y65" s="140">
        <v>186619.35</v>
      </c>
      <c r="Z65" s="169"/>
      <c r="AA65" s="154" t="s">
        <v>15</v>
      </c>
      <c r="AB65" s="103"/>
      <c r="AD65" s="2"/>
    </row>
    <row r="66" spans="2:30">
      <c r="B66" s="198">
        <v>4508</v>
      </c>
      <c r="C66" s="60" t="s">
        <v>8</v>
      </c>
      <c r="D66" s="204"/>
      <c r="F66" s="159"/>
      <c r="G66" s="81">
        <v>667</v>
      </c>
      <c r="H66" s="122">
        <v>393</v>
      </c>
      <c r="I66" s="142">
        <v>81.999999999999972</v>
      </c>
      <c r="J66" s="142">
        <v>210.97584541062801</v>
      </c>
      <c r="K66" s="142">
        <v>0</v>
      </c>
      <c r="L66" s="142">
        <v>23.109004739336516</v>
      </c>
      <c r="M66" s="142">
        <v>2.0094786729857841</v>
      </c>
      <c r="N66" s="142">
        <v>74.350710900473914</v>
      </c>
      <c r="O66" s="142">
        <v>57.270142180094737</v>
      </c>
      <c r="P66" s="143">
        <v>82.388625592417043</v>
      </c>
      <c r="Q66" s="144">
        <v>250.2151065453844</v>
      </c>
      <c r="R66" s="144">
        <v>6.0000000000000044</v>
      </c>
      <c r="S66" s="144">
        <v>0</v>
      </c>
      <c r="T66" s="144">
        <v>5</v>
      </c>
      <c r="U66" s="144">
        <f t="shared" si="6"/>
        <v>212</v>
      </c>
      <c r="V66" s="144">
        <v>2.4702549501285298</v>
      </c>
      <c r="W66" s="288">
        <f t="shared" si="7"/>
        <v>2618.4702471362416</v>
      </c>
      <c r="X66" s="284" t="str">
        <f t="shared" si="8"/>
        <v>No</v>
      </c>
      <c r="Y66" s="140">
        <v>259328.19</v>
      </c>
      <c r="Z66" s="169"/>
      <c r="AA66" s="154" t="s">
        <v>15</v>
      </c>
      <c r="AB66" s="103"/>
      <c r="AD66" s="2"/>
    </row>
    <row r="67" spans="2:30">
      <c r="B67" s="198">
        <v>4602</v>
      </c>
      <c r="C67" s="60" t="s">
        <v>39</v>
      </c>
      <c r="D67" s="204" t="s">
        <v>71</v>
      </c>
      <c r="F67" s="159"/>
      <c r="G67" s="81">
        <v>662</v>
      </c>
      <c r="H67" s="122">
        <v>367</v>
      </c>
      <c r="I67" s="142">
        <v>47</v>
      </c>
      <c r="J67" s="142">
        <v>119.09238578680203</v>
      </c>
      <c r="K67" s="142">
        <v>0</v>
      </c>
      <c r="L67" s="142">
        <v>3.0087719298245568</v>
      </c>
      <c r="M67" s="142">
        <v>56.163742690058434</v>
      </c>
      <c r="N67" s="142">
        <v>8.0233918128654942</v>
      </c>
      <c r="O67" s="142">
        <v>3.0087719298245568</v>
      </c>
      <c r="P67" s="143">
        <v>31.090643274853846</v>
      </c>
      <c r="Q67" s="144">
        <v>200.98675448180856</v>
      </c>
      <c r="R67" s="144">
        <v>1.9999999999999987</v>
      </c>
      <c r="S67" s="144">
        <v>0</v>
      </c>
      <c r="T67" s="144">
        <v>5</v>
      </c>
      <c r="U67" s="144">
        <f t="shared" si="6"/>
        <v>205.8</v>
      </c>
      <c r="V67" s="144">
        <v>1.99616746363636</v>
      </c>
      <c r="W67" s="288">
        <f t="shared" si="7"/>
        <v>2054.0563200818146</v>
      </c>
      <c r="X67" s="284" t="str">
        <f t="shared" si="8"/>
        <v>No</v>
      </c>
      <c r="Y67" s="140">
        <v>59136.52</v>
      </c>
      <c r="Z67" s="169"/>
      <c r="AA67" s="154" t="s">
        <v>15</v>
      </c>
      <c r="AB67" s="103"/>
      <c r="AD67" s="2"/>
    </row>
    <row r="68" spans="2:30">
      <c r="B68" s="198">
        <v>4229</v>
      </c>
      <c r="C68" s="60" t="s">
        <v>40</v>
      </c>
      <c r="D68" s="204" t="s">
        <v>73</v>
      </c>
      <c r="F68" s="159"/>
      <c r="G68" s="81">
        <v>619</v>
      </c>
      <c r="H68" s="122">
        <v>379</v>
      </c>
      <c r="I68" s="142">
        <v>69.999999999999957</v>
      </c>
      <c r="J68" s="142">
        <v>178.40168243953732</v>
      </c>
      <c r="K68" s="142">
        <v>0</v>
      </c>
      <c r="L68" s="142">
        <v>8.0000000000000036</v>
      </c>
      <c r="M68" s="142">
        <v>55.000000000000036</v>
      </c>
      <c r="N68" s="142">
        <v>34.999999999999979</v>
      </c>
      <c r="O68" s="142">
        <v>34.000000000000014</v>
      </c>
      <c r="P68" s="143">
        <v>91.999999999999957</v>
      </c>
      <c r="Q68" s="144">
        <v>199.54271277417581</v>
      </c>
      <c r="R68" s="144">
        <v>17.051256281407042</v>
      </c>
      <c r="S68" s="144">
        <v>0</v>
      </c>
      <c r="T68" s="144">
        <v>5</v>
      </c>
      <c r="U68" s="144">
        <f t="shared" si="6"/>
        <v>199.6</v>
      </c>
      <c r="V68" s="144">
        <v>0.76528140904059005</v>
      </c>
      <c r="W68" s="288">
        <f t="shared" si="7"/>
        <v>763.75084622250893</v>
      </c>
      <c r="X68" s="284" t="str">
        <f t="shared" si="8"/>
        <v>No</v>
      </c>
      <c r="Y68" s="140">
        <v>16992</v>
      </c>
      <c r="Z68" s="169"/>
      <c r="AA68" s="154" t="s">
        <v>15</v>
      </c>
      <c r="AB68" s="103"/>
      <c r="AD68" s="2"/>
    </row>
    <row r="69" spans="2:30">
      <c r="B69" s="198">
        <v>4003</v>
      </c>
      <c r="C69" s="60" t="s">
        <v>150</v>
      </c>
      <c r="D69" s="204" t="s">
        <v>71</v>
      </c>
      <c r="F69" s="159"/>
      <c r="G69" s="81">
        <v>325</v>
      </c>
      <c r="H69" s="122">
        <v>197</v>
      </c>
      <c r="I69" s="142">
        <v>87.000000000000171</v>
      </c>
      <c r="J69" s="142">
        <v>150.75442043222006</v>
      </c>
      <c r="K69" s="142">
        <v>0</v>
      </c>
      <c r="L69" s="142">
        <v>71.136276391554972</v>
      </c>
      <c r="M69" s="142">
        <v>3.005758157389637</v>
      </c>
      <c r="N69" s="142">
        <v>52.099808061420347</v>
      </c>
      <c r="O69" s="142">
        <v>2.0038387715930899</v>
      </c>
      <c r="P69" s="143">
        <v>51.097888675623807</v>
      </c>
      <c r="Q69" s="144">
        <v>127.03334107723579</v>
      </c>
      <c r="R69" s="144">
        <v>15.028790786948184</v>
      </c>
      <c r="S69" s="144">
        <v>0</v>
      </c>
      <c r="T69" s="144">
        <v>5</v>
      </c>
      <c r="U69" s="144">
        <f t="shared" si="6"/>
        <v>104.4</v>
      </c>
      <c r="V69" s="144">
        <v>1.3414473202714201</v>
      </c>
      <c r="W69" s="288">
        <f t="shared" si="7"/>
        <v>700.23550118168134</v>
      </c>
      <c r="X69" s="284" t="str">
        <f t="shared" si="8"/>
        <v>No</v>
      </c>
      <c r="Y69" s="140">
        <v>97429.84</v>
      </c>
      <c r="Z69" s="169"/>
      <c r="AA69" s="154" t="s">
        <v>15</v>
      </c>
      <c r="AB69" s="103"/>
      <c r="AD69" s="2"/>
    </row>
    <row r="70" spans="2:30">
      <c r="B70" s="198">
        <v>4703</v>
      </c>
      <c r="C70" s="60" t="s">
        <v>64</v>
      </c>
      <c r="D70" s="204"/>
      <c r="F70" s="159"/>
      <c r="G70" s="81">
        <v>440</v>
      </c>
      <c r="H70" s="122">
        <v>300</v>
      </c>
      <c r="I70" s="142">
        <v>85.000000000000099</v>
      </c>
      <c r="J70" s="142">
        <v>255.13870541611627</v>
      </c>
      <c r="K70" s="142">
        <v>0</v>
      </c>
      <c r="L70" s="142">
        <v>0</v>
      </c>
      <c r="M70" s="142">
        <v>98.132611637347566</v>
      </c>
      <c r="N70" s="142">
        <v>107.14479025710429</v>
      </c>
      <c r="O70" s="142">
        <v>0</v>
      </c>
      <c r="P70" s="143">
        <v>133.17997293640033</v>
      </c>
      <c r="Q70" s="144">
        <v>229.97342340536099</v>
      </c>
      <c r="R70" s="144">
        <v>11.999999999999988</v>
      </c>
      <c r="S70" s="144">
        <v>0</v>
      </c>
      <c r="T70" s="144">
        <v>5</v>
      </c>
      <c r="U70" s="144">
        <f t="shared" si="6"/>
        <v>148</v>
      </c>
      <c r="V70" s="144">
        <v>1.83413204816035</v>
      </c>
      <c r="W70" s="288">
        <f t="shared" si="7"/>
        <v>1357.257715638659</v>
      </c>
      <c r="X70" s="284" t="str">
        <f t="shared" si="8"/>
        <v>No</v>
      </c>
      <c r="Y70" s="140">
        <v>159959.44</v>
      </c>
      <c r="Z70" s="169"/>
      <c r="AA70" s="154" t="s">
        <v>15</v>
      </c>
      <c r="AB70" s="103"/>
      <c r="AD70" s="2"/>
    </row>
    <row r="71" spans="2:30" ht="5.0999999999999996" customHeight="1">
      <c r="B71" s="198"/>
      <c r="C71" s="60"/>
      <c r="D71" s="204"/>
      <c r="F71" s="80"/>
      <c r="G71" s="81"/>
      <c r="H71" s="122"/>
      <c r="I71" s="81"/>
      <c r="J71" s="81"/>
      <c r="K71" s="81"/>
      <c r="L71" s="81"/>
      <c r="M71" s="81"/>
      <c r="N71" s="81"/>
      <c r="O71" s="81"/>
      <c r="P71" s="122"/>
      <c r="Q71" s="140"/>
      <c r="R71" s="140"/>
      <c r="S71" s="140"/>
      <c r="T71" s="140"/>
      <c r="U71" s="140"/>
      <c r="V71" s="140"/>
      <c r="W71" s="289"/>
      <c r="X71" s="140"/>
      <c r="Y71" s="140"/>
      <c r="Z71" s="140"/>
      <c r="AA71" s="82"/>
      <c r="AB71" s="103"/>
      <c r="AD71" s="2"/>
    </row>
    <row r="72" spans="2:30" s="104" customFormat="1" ht="15.75">
      <c r="B72" s="205"/>
      <c r="C72" s="85" t="s">
        <v>170</v>
      </c>
      <c r="D72" s="206"/>
      <c r="E72" s="86"/>
      <c r="F72" s="87">
        <f>SUM(F61:F71)</f>
        <v>0</v>
      </c>
      <c r="G72" s="88">
        <f>SUM(G61:G71)</f>
        <v>5375</v>
      </c>
      <c r="H72" s="123">
        <f>SUM(H61:H71)</f>
        <v>3265</v>
      </c>
      <c r="I72" s="145">
        <f t="shared" ref="I72:R72" si="9">SUM(I61:I71)</f>
        <v>609.00000000000023</v>
      </c>
      <c r="J72" s="145">
        <f t="shared" si="9"/>
        <v>1545.7772375796987</v>
      </c>
      <c r="K72" s="145">
        <f t="shared" si="9"/>
        <v>0</v>
      </c>
      <c r="L72" s="145">
        <f t="shared" si="9"/>
        <v>231.55699277406131</v>
      </c>
      <c r="M72" s="145">
        <f t="shared" si="9"/>
        <v>260.51531675285196</v>
      </c>
      <c r="N72" s="145">
        <f t="shared" si="9"/>
        <v>373.98221473431283</v>
      </c>
      <c r="O72" s="145">
        <f t="shared" si="9"/>
        <v>144.49495892978669</v>
      </c>
      <c r="P72" s="146">
        <f t="shared" si="9"/>
        <v>795.0234242923467</v>
      </c>
      <c r="Q72" s="147">
        <f t="shared" si="9"/>
        <v>1786.0955657591412</v>
      </c>
      <c r="R72" s="147">
        <f t="shared" si="9"/>
        <v>130.32783856815053</v>
      </c>
      <c r="S72" s="147">
        <f t="shared" ref="S72" si="10">SUM(S61:S71)</f>
        <v>0</v>
      </c>
      <c r="T72" s="147">
        <f t="shared" ref="T72" si="11">SUM(T61:T71)</f>
        <v>45</v>
      </c>
      <c r="U72" s="147">
        <f t="shared" si="6"/>
        <v>192</v>
      </c>
      <c r="V72" s="147">
        <f>W72/SUM(F72:H72)</f>
        <v>1.7758917431862287</v>
      </c>
      <c r="W72" s="290">
        <f t="shared" ref="W72" si="12">SUM(W61:W71)</f>
        <v>15343.704661129015</v>
      </c>
      <c r="X72" s="155"/>
      <c r="Y72" s="130">
        <f>SUM(Y61:Y71)</f>
        <v>983585.04</v>
      </c>
      <c r="Z72" s="130">
        <f>SUM(Z61:Z71)</f>
        <v>0</v>
      </c>
      <c r="AA72" s="156"/>
      <c r="AB72" s="103"/>
      <c r="AC72" s="2"/>
      <c r="AD72" s="2"/>
    </row>
    <row r="73" spans="2:30" ht="4.5" customHeight="1" thickBot="1">
      <c r="B73" s="208"/>
      <c r="C73" s="92"/>
      <c r="D73" s="207"/>
      <c r="E73" s="92"/>
      <c r="F73" s="93"/>
      <c r="G73" s="83"/>
      <c r="H73" s="124"/>
      <c r="I73" s="83"/>
      <c r="J73" s="83"/>
      <c r="K73" s="83"/>
      <c r="L73" s="83"/>
      <c r="M73" s="83"/>
      <c r="N73" s="83"/>
      <c r="O73" s="83"/>
      <c r="P73" s="124"/>
      <c r="Q73" s="131"/>
      <c r="R73" s="131"/>
      <c r="S73" s="131"/>
      <c r="T73" s="131"/>
      <c r="U73" s="131"/>
      <c r="V73" s="131"/>
      <c r="W73" s="291"/>
      <c r="X73" s="131"/>
      <c r="Y73" s="131"/>
      <c r="Z73" s="131"/>
      <c r="AA73" s="94"/>
      <c r="AB73" s="103"/>
      <c r="AD73" s="2"/>
    </row>
    <row r="74" spans="2:30" s="104" customFormat="1" ht="17.25" thickTop="1" thickBot="1">
      <c r="B74" s="209"/>
      <c r="C74" s="96" t="s">
        <v>169</v>
      </c>
      <c r="D74" s="210"/>
      <c r="E74" s="86"/>
      <c r="F74" s="97">
        <f>SUM(F60,F72)</f>
        <v>13722</v>
      </c>
      <c r="G74" s="98">
        <f>SUM(G60,G72)</f>
        <v>5375</v>
      </c>
      <c r="H74" s="125">
        <f>SUM(H60,H72)</f>
        <v>3265</v>
      </c>
      <c r="I74" s="148">
        <f t="shared" ref="I74:R74" si="13">SUM(I60,I72)</f>
        <v>1718.0000000000009</v>
      </c>
      <c r="J74" s="148">
        <f t="shared" si="13"/>
        <v>3859.6664994979574</v>
      </c>
      <c r="K74" s="148">
        <f t="shared" si="13"/>
        <v>0</v>
      </c>
      <c r="L74" s="148">
        <f t="shared" si="13"/>
        <v>658.8021485171862</v>
      </c>
      <c r="M74" s="148">
        <f t="shared" si="13"/>
        <v>839.93963385531947</v>
      </c>
      <c r="N74" s="148">
        <f t="shared" si="13"/>
        <v>1117.0263519731952</v>
      </c>
      <c r="O74" s="148">
        <f t="shared" si="13"/>
        <v>394.39721140604615</v>
      </c>
      <c r="P74" s="149">
        <f t="shared" si="13"/>
        <v>2175.5482278268214</v>
      </c>
      <c r="Q74" s="150">
        <f t="shared" si="13"/>
        <v>5678.6890348452926</v>
      </c>
      <c r="R74" s="150">
        <f t="shared" si="13"/>
        <v>919.09227251940183</v>
      </c>
      <c r="S74" s="150">
        <f t="shared" ref="S74" si="14">SUM(S60,S72)</f>
        <v>72.500000000000199</v>
      </c>
      <c r="T74" s="150">
        <f t="shared" ref="T74" si="15">SUM(T60,T72)</f>
        <v>381</v>
      </c>
      <c r="U74" s="150">
        <f t="shared" si="6"/>
        <v>58.69291338582677</v>
      </c>
      <c r="V74" s="150">
        <f>W74/SUM(F74:H74)</f>
        <v>1.1470827858579522</v>
      </c>
      <c r="W74" s="292">
        <f t="shared" ref="W74" si="16">SUM(W60,W72)</f>
        <v>25651.065257355527</v>
      </c>
      <c r="X74" s="157"/>
      <c r="Y74" s="132">
        <f>SUM(Y60,Y72)</f>
        <v>1722411.9300000002</v>
      </c>
      <c r="Z74" s="132">
        <f>SUM(Z60,Z72)</f>
        <v>757779</v>
      </c>
      <c r="AA74" s="158"/>
      <c r="AB74" s="103"/>
      <c r="AC74" s="2"/>
      <c r="AD74" s="2"/>
    </row>
    <row r="75" spans="2:30" ht="16.5" thickTop="1" thickBot="1"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3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3"/>
    </row>
    <row r="76" spans="2:30" ht="16.5" thickTop="1">
      <c r="K76" s="328"/>
      <c r="L76" s="328"/>
      <c r="M76" s="328"/>
      <c r="N76" s="328"/>
      <c r="O76" s="328"/>
      <c r="P76" s="328"/>
      <c r="Q76" s="293"/>
      <c r="R76" s="294"/>
      <c r="S76" s="277"/>
      <c r="T76" s="295" t="s">
        <v>269</v>
      </c>
      <c r="U76" s="278">
        <v>21.4</v>
      </c>
      <c r="V76" s="279">
        <v>2</v>
      </c>
      <c r="W76" s="285"/>
      <c r="X76" s="141"/>
      <c r="Y76" s="141"/>
      <c r="Z76" s="141"/>
      <c r="AA76" s="141"/>
    </row>
    <row r="77" spans="2:30" ht="16.5" thickBot="1">
      <c r="I77" s="141"/>
      <c r="J77" s="141"/>
      <c r="K77" s="141"/>
      <c r="L77" s="141"/>
      <c r="M77" s="141"/>
      <c r="N77" s="141"/>
      <c r="O77" s="141"/>
      <c r="P77" s="328"/>
      <c r="Q77" s="293"/>
      <c r="R77" s="280"/>
      <c r="S77" s="281"/>
      <c r="T77" s="296" t="s">
        <v>270</v>
      </c>
      <c r="U77" s="282">
        <v>120</v>
      </c>
      <c r="V77" s="283">
        <v>3</v>
      </c>
      <c r="W77" s="285"/>
      <c r="X77" s="141"/>
      <c r="Y77" s="141"/>
      <c r="Z77" s="141"/>
      <c r="AA77" s="141"/>
    </row>
    <row r="78" spans="2:30" ht="17.25" thickTop="1" thickBot="1"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326" t="s">
        <v>356</v>
      </c>
      <c r="V78" s="327" t="s">
        <v>357</v>
      </c>
      <c r="W78" s="141"/>
      <c r="X78" s="141"/>
      <c r="Y78" s="141"/>
      <c r="Z78" s="141"/>
      <c r="AA78" s="141"/>
    </row>
    <row r="79" spans="2:30" ht="15.75" thickTop="1"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V79" s="141"/>
      <c r="W79" s="141"/>
      <c r="X79" s="141"/>
      <c r="Y79" s="141"/>
      <c r="Z79" s="141"/>
      <c r="AA79" s="141"/>
    </row>
    <row r="80" spans="2:30"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01"/>
    </row>
    <row r="81" spans="9:27"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V81" s="141"/>
      <c r="W81" s="141"/>
      <c r="X81" s="141"/>
      <c r="Y81" s="141"/>
      <c r="Z81" s="141"/>
      <c r="AA81" s="141"/>
    </row>
    <row r="82" spans="9:27"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  <c r="AA82" s="141"/>
    </row>
    <row r="83" spans="9:27"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1"/>
    </row>
    <row r="84" spans="9:27"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U84" s="141"/>
      <c r="V84" s="141"/>
      <c r="W84" s="141"/>
      <c r="X84" s="141"/>
      <c r="Y84" s="141"/>
      <c r="Z84" s="141"/>
      <c r="AA84" s="141"/>
    </row>
    <row r="85" spans="9:27"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41"/>
    </row>
    <row r="86" spans="9:27"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  <c r="X86" s="141"/>
      <c r="Y86" s="141"/>
      <c r="Z86" s="141"/>
      <c r="AA86" s="141"/>
    </row>
    <row r="87" spans="9:27"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41"/>
      <c r="AA87" s="141"/>
    </row>
    <row r="88" spans="9:27"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141"/>
      <c r="X88" s="141"/>
      <c r="Y88" s="141"/>
      <c r="Z88" s="141"/>
      <c r="AA88" s="141"/>
    </row>
    <row r="89" spans="9:27"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1"/>
      <c r="W89" s="141"/>
      <c r="X89" s="141"/>
      <c r="Y89" s="141"/>
      <c r="Z89" s="141"/>
      <c r="AA89" s="141"/>
    </row>
    <row r="90" spans="9:27"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U90" s="141"/>
      <c r="V90" s="141"/>
      <c r="W90" s="141"/>
      <c r="X90" s="141"/>
      <c r="Y90" s="141"/>
      <c r="Z90" s="141"/>
      <c r="AA90" s="141"/>
    </row>
    <row r="91" spans="9:27"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  <c r="Z91" s="141"/>
      <c r="AA91" s="141"/>
    </row>
    <row r="92" spans="9:27"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  <c r="AA92" s="141"/>
    </row>
    <row r="93" spans="9:27"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W93" s="141"/>
      <c r="X93" s="141"/>
      <c r="Y93" s="141"/>
      <c r="Z93" s="141"/>
      <c r="AA93" s="141"/>
    </row>
    <row r="94" spans="9:27">
      <c r="I94" s="141"/>
      <c r="J94" s="141"/>
      <c r="K94" s="141"/>
      <c r="L94" s="141"/>
      <c r="M94" s="141"/>
      <c r="N94" s="141"/>
      <c r="P94" s="101"/>
      <c r="Q94" s="141"/>
      <c r="R94" s="141"/>
      <c r="S94" s="141"/>
      <c r="T94" s="141"/>
      <c r="V94" s="141"/>
      <c r="W94" s="141"/>
      <c r="X94" s="141"/>
      <c r="Y94" s="141"/>
      <c r="Z94" s="141"/>
      <c r="AA94" s="141"/>
    </row>
    <row r="95" spans="9:27"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41"/>
      <c r="AA95" s="141"/>
    </row>
    <row r="96" spans="9:27"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V96" s="141"/>
      <c r="W96" s="141"/>
      <c r="X96" s="141"/>
      <c r="Y96" s="141"/>
      <c r="Z96" s="141"/>
      <c r="AA96" s="141"/>
    </row>
    <row r="97" spans="9:27"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1"/>
      <c r="X97" s="141"/>
      <c r="Y97" s="141"/>
      <c r="Z97" s="141"/>
      <c r="AA97" s="141"/>
    </row>
    <row r="98" spans="9:27">
      <c r="I98" s="141"/>
      <c r="J98" s="141"/>
      <c r="K98" s="141"/>
      <c r="L98" s="141"/>
      <c r="M98" s="141"/>
      <c r="N98" s="141"/>
      <c r="O98" s="141"/>
      <c r="P98" s="141"/>
      <c r="Q98" s="141"/>
      <c r="R98" s="141"/>
      <c r="S98" s="141"/>
      <c r="T98" s="141"/>
      <c r="U98" s="141"/>
      <c r="V98" s="141"/>
      <c r="W98" s="141"/>
      <c r="X98" s="141"/>
      <c r="Y98" s="141"/>
      <c r="Z98" s="141"/>
      <c r="AA98" s="141"/>
    </row>
    <row r="99" spans="9:27"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</row>
    <row r="100" spans="9:27"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  <c r="T100" s="141"/>
      <c r="U100" s="141"/>
      <c r="V100" s="141"/>
      <c r="W100" s="141"/>
      <c r="X100" s="141"/>
      <c r="Y100" s="141"/>
      <c r="Z100" s="141"/>
      <c r="AA100" s="141"/>
    </row>
    <row r="101" spans="9:27"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U101" s="141"/>
      <c r="V101" s="141"/>
      <c r="W101" s="141"/>
      <c r="X101" s="141"/>
      <c r="Y101" s="141"/>
      <c r="Z101" s="141"/>
      <c r="AA101" s="141"/>
    </row>
    <row r="102" spans="9:27"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  <c r="X102" s="141"/>
      <c r="Y102" s="141"/>
      <c r="Z102" s="141"/>
      <c r="AA102" s="141"/>
    </row>
    <row r="103" spans="9:27">
      <c r="I103" s="141"/>
      <c r="J103" s="141"/>
      <c r="K103" s="141"/>
      <c r="L103" s="141"/>
      <c r="M103" s="141"/>
      <c r="N103" s="141"/>
      <c r="P103" s="101"/>
      <c r="Q103" s="141"/>
      <c r="R103" s="141"/>
      <c r="S103" s="141"/>
      <c r="T103" s="141"/>
      <c r="U103" s="141"/>
      <c r="V103" s="141"/>
      <c r="W103" s="141"/>
      <c r="X103" s="141"/>
      <c r="Y103" s="141"/>
      <c r="Z103" s="141"/>
      <c r="AA103" s="141"/>
    </row>
    <row r="104" spans="9:27"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U104" s="141"/>
      <c r="V104" s="141"/>
      <c r="W104" s="141"/>
      <c r="X104" s="141"/>
      <c r="Y104" s="141"/>
      <c r="Z104" s="141"/>
      <c r="AA104" s="141"/>
    </row>
    <row r="105" spans="9:27"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  <c r="T105" s="141"/>
      <c r="V105" s="141"/>
      <c r="W105" s="141"/>
      <c r="X105" s="141"/>
      <c r="Y105" s="141"/>
      <c r="Z105" s="141"/>
      <c r="AA105" s="141"/>
    </row>
    <row r="106" spans="9:27"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  <c r="V106" s="141"/>
      <c r="W106" s="141"/>
      <c r="X106" s="141"/>
      <c r="Y106" s="141"/>
      <c r="Z106" s="141"/>
      <c r="AA106" s="141"/>
    </row>
    <row r="107" spans="9:27"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  <c r="X107" s="141"/>
      <c r="Y107" s="141"/>
      <c r="Z107" s="141"/>
      <c r="AA107" s="141"/>
    </row>
    <row r="108" spans="9:27"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V108" s="141"/>
      <c r="W108" s="141"/>
      <c r="X108" s="141"/>
      <c r="Y108" s="141"/>
      <c r="Z108" s="141"/>
      <c r="AA108" s="141"/>
    </row>
    <row r="109" spans="9:27"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  <c r="V109" s="141"/>
      <c r="W109" s="141"/>
      <c r="X109" s="141"/>
      <c r="Y109" s="141"/>
      <c r="Z109" s="141"/>
      <c r="AA109" s="141"/>
    </row>
    <row r="110" spans="9:27"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U110" s="141"/>
      <c r="V110" s="141"/>
      <c r="W110" s="141"/>
      <c r="X110" s="141"/>
      <c r="Y110" s="141"/>
      <c r="Z110" s="141"/>
      <c r="AA110" s="141"/>
    </row>
    <row r="111" spans="9:27"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  <c r="T111" s="141"/>
      <c r="U111" s="141"/>
      <c r="V111" s="141"/>
      <c r="W111" s="141"/>
      <c r="X111" s="141"/>
      <c r="Y111" s="141"/>
      <c r="Z111" s="141"/>
      <c r="AA111" s="141"/>
    </row>
    <row r="112" spans="9:27">
      <c r="I112" s="141"/>
      <c r="J112" s="141"/>
      <c r="K112" s="141"/>
      <c r="L112" s="141"/>
      <c r="M112" s="141"/>
      <c r="N112" s="141"/>
      <c r="O112" s="141"/>
      <c r="P112" s="141"/>
      <c r="Q112" s="141"/>
      <c r="R112" s="141"/>
      <c r="S112" s="141"/>
      <c r="U112" s="141"/>
      <c r="V112" s="141"/>
      <c r="W112" s="141"/>
      <c r="X112" s="141"/>
      <c r="Y112" s="141"/>
      <c r="Z112" s="141"/>
      <c r="AA112" s="141"/>
    </row>
    <row r="113" spans="9:27">
      <c r="I113" s="141"/>
      <c r="J113" s="141"/>
      <c r="K113" s="141"/>
      <c r="L113" s="141"/>
      <c r="M113" s="141"/>
      <c r="N113" s="141"/>
      <c r="O113" s="141"/>
      <c r="P113" s="141"/>
      <c r="Q113" s="141"/>
      <c r="R113" s="141"/>
      <c r="S113" s="141"/>
      <c r="T113" s="141"/>
      <c r="U113" s="141"/>
      <c r="V113" s="141"/>
      <c r="W113" s="141"/>
      <c r="X113" s="141"/>
      <c r="Y113" s="141"/>
      <c r="Z113" s="141"/>
      <c r="AA113" s="141"/>
    </row>
    <row r="114" spans="9:27"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  <c r="S114" s="141"/>
      <c r="T114" s="141"/>
      <c r="U114" s="141"/>
      <c r="V114" s="141"/>
      <c r="W114" s="141"/>
      <c r="X114" s="141"/>
      <c r="Y114" s="141"/>
      <c r="Z114" s="141"/>
      <c r="AA114" s="141"/>
    </row>
    <row r="115" spans="9:27">
      <c r="I115" s="141"/>
      <c r="J115" s="141"/>
      <c r="K115" s="141"/>
      <c r="L115" s="141"/>
      <c r="M115" s="141"/>
      <c r="N115" s="141"/>
      <c r="O115" s="141"/>
      <c r="P115" s="141"/>
      <c r="Q115" s="141"/>
      <c r="R115" s="141"/>
      <c r="S115" s="141"/>
      <c r="T115" s="141"/>
      <c r="U115" s="141"/>
      <c r="V115" s="141"/>
      <c r="W115" s="141"/>
      <c r="X115" s="141"/>
      <c r="Y115" s="141"/>
      <c r="Z115" s="141"/>
      <c r="AA115" s="141"/>
    </row>
    <row r="116" spans="9:27">
      <c r="I116" s="141"/>
      <c r="J116" s="141"/>
      <c r="K116" s="141"/>
      <c r="L116" s="141"/>
      <c r="M116" s="141"/>
      <c r="N116" s="141"/>
      <c r="O116" s="141"/>
      <c r="P116" s="141"/>
      <c r="Q116" s="141"/>
      <c r="R116" s="141"/>
      <c r="S116" s="141"/>
      <c r="T116" s="141"/>
      <c r="U116" s="141"/>
      <c r="V116" s="141"/>
      <c r="W116" s="141"/>
      <c r="X116" s="141"/>
      <c r="Y116" s="141"/>
      <c r="Z116" s="141"/>
      <c r="AA116" s="141"/>
    </row>
    <row r="117" spans="9:27"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  <c r="T117" s="141"/>
      <c r="U117" s="141"/>
      <c r="V117" s="141"/>
      <c r="W117" s="141"/>
      <c r="Y117" s="141"/>
      <c r="Z117" s="141"/>
      <c r="AA117" s="141"/>
    </row>
    <row r="118" spans="9:27">
      <c r="I118" s="141"/>
      <c r="J118" s="141"/>
      <c r="K118" s="141"/>
      <c r="L118" s="141"/>
      <c r="M118" s="141"/>
      <c r="N118" s="141"/>
      <c r="O118" s="141"/>
      <c r="P118" s="141"/>
      <c r="Q118" s="141"/>
      <c r="R118" s="141"/>
      <c r="S118" s="141"/>
      <c r="T118" s="141"/>
      <c r="U118" s="141"/>
      <c r="V118" s="141"/>
      <c r="W118" s="141"/>
      <c r="Y118" s="141"/>
      <c r="Z118" s="141"/>
      <c r="AA118" s="141"/>
    </row>
    <row r="119" spans="9:27"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  <c r="T119" s="141"/>
      <c r="U119" s="141"/>
      <c r="V119" s="141"/>
      <c r="W119" s="141"/>
      <c r="Y119" s="141"/>
      <c r="Z119" s="141"/>
      <c r="AA119" s="141"/>
    </row>
    <row r="120" spans="9:27">
      <c r="I120" s="141"/>
      <c r="J120" s="141"/>
      <c r="K120" s="141"/>
      <c r="L120" s="141"/>
      <c r="M120" s="141"/>
      <c r="N120" s="141"/>
      <c r="O120" s="141"/>
      <c r="P120" s="141"/>
      <c r="Q120" s="141"/>
      <c r="R120" s="141"/>
      <c r="S120" s="141"/>
      <c r="T120" s="141"/>
      <c r="U120" s="141"/>
      <c r="V120" s="141"/>
      <c r="W120" s="141"/>
      <c r="Y120" s="141"/>
      <c r="Z120" s="141"/>
      <c r="AA120" s="141"/>
    </row>
    <row r="121" spans="9:27">
      <c r="I121" s="141"/>
      <c r="J121" s="141"/>
      <c r="K121" s="141"/>
      <c r="L121" s="141"/>
      <c r="M121" s="141"/>
      <c r="N121" s="141"/>
      <c r="O121" s="141"/>
      <c r="P121" s="141"/>
      <c r="Q121" s="141"/>
      <c r="R121" s="141"/>
      <c r="S121" s="141"/>
      <c r="T121" s="141"/>
      <c r="U121" s="141"/>
      <c r="V121" s="141"/>
      <c r="W121" s="141"/>
      <c r="Y121" s="141"/>
      <c r="Z121" s="141"/>
      <c r="AA121" s="141"/>
    </row>
    <row r="122" spans="9:27">
      <c r="I122" s="141"/>
      <c r="J122" s="141"/>
      <c r="K122" s="141"/>
      <c r="L122" s="141"/>
      <c r="M122" s="141"/>
      <c r="N122" s="141"/>
      <c r="O122" s="141"/>
      <c r="P122" s="141"/>
      <c r="Q122" s="141"/>
      <c r="R122" s="141"/>
      <c r="S122" s="141"/>
      <c r="T122" s="141"/>
      <c r="U122" s="141"/>
      <c r="V122" s="141"/>
      <c r="W122" s="141"/>
      <c r="Y122" s="141"/>
      <c r="Z122" s="141"/>
      <c r="AA122" s="141"/>
    </row>
    <row r="123" spans="9:27">
      <c r="I123" s="141"/>
      <c r="J123" s="141"/>
      <c r="K123" s="141"/>
      <c r="L123" s="141"/>
      <c r="M123" s="141"/>
      <c r="N123" s="141"/>
      <c r="O123" s="141"/>
      <c r="P123" s="141"/>
      <c r="Q123" s="141"/>
      <c r="R123" s="141"/>
      <c r="S123" s="141"/>
      <c r="T123" s="141"/>
      <c r="U123" s="141"/>
      <c r="V123" s="141"/>
      <c r="W123" s="141"/>
      <c r="X123" s="141"/>
      <c r="Y123" s="141"/>
      <c r="Z123" s="141"/>
      <c r="AA123" s="141"/>
    </row>
    <row r="124" spans="9:27">
      <c r="I124" s="141"/>
      <c r="J124" s="141"/>
      <c r="K124" s="141"/>
      <c r="L124" s="141"/>
      <c r="M124" s="141"/>
      <c r="N124" s="141"/>
      <c r="O124" s="141"/>
      <c r="P124" s="141"/>
      <c r="Q124" s="141"/>
      <c r="R124" s="141"/>
      <c r="S124" s="141"/>
      <c r="T124" s="141"/>
      <c r="U124" s="141"/>
      <c r="V124" s="141"/>
      <c r="W124" s="141"/>
      <c r="X124" s="141"/>
      <c r="Y124" s="141"/>
      <c r="Z124" s="141"/>
      <c r="AA124" s="141"/>
    </row>
    <row r="125" spans="9:27">
      <c r="I125" s="141"/>
      <c r="J125" s="141"/>
      <c r="K125" s="141"/>
      <c r="L125" s="141"/>
      <c r="M125" s="141"/>
      <c r="N125" s="141"/>
      <c r="O125" s="141"/>
      <c r="P125" s="141"/>
      <c r="Q125" s="141"/>
      <c r="R125" s="141"/>
      <c r="S125" s="141"/>
      <c r="T125" s="141"/>
      <c r="U125" s="141"/>
      <c r="V125" s="141"/>
      <c r="W125" s="141"/>
      <c r="X125" s="141"/>
      <c r="Y125" s="141"/>
      <c r="Z125" s="141"/>
      <c r="AA125" s="141"/>
    </row>
    <row r="126" spans="9:27">
      <c r="I126" s="141"/>
      <c r="J126" s="141"/>
      <c r="K126" s="141"/>
      <c r="L126" s="141"/>
      <c r="M126" s="141"/>
      <c r="N126" s="141"/>
      <c r="O126" s="141"/>
      <c r="P126" s="141"/>
      <c r="Q126" s="141"/>
      <c r="R126" s="141"/>
      <c r="S126" s="141"/>
      <c r="U126" s="141"/>
      <c r="V126" s="141"/>
      <c r="W126" s="141"/>
      <c r="X126" s="141"/>
      <c r="Y126" s="141"/>
      <c r="Z126" s="141"/>
      <c r="AA126" s="141"/>
    </row>
    <row r="127" spans="9:27">
      <c r="I127" s="141"/>
      <c r="J127" s="141"/>
      <c r="K127" s="141"/>
      <c r="L127" s="141"/>
      <c r="M127" s="141"/>
      <c r="N127" s="141"/>
      <c r="O127" s="141"/>
      <c r="P127" s="141"/>
      <c r="Q127" s="141"/>
      <c r="R127" s="141"/>
      <c r="S127" s="141"/>
      <c r="T127" s="141"/>
      <c r="U127" s="141"/>
      <c r="V127" s="141"/>
      <c r="W127" s="141"/>
      <c r="X127" s="141"/>
      <c r="Y127" s="141"/>
      <c r="Z127" s="141"/>
      <c r="AA127" s="141"/>
    </row>
    <row r="128" spans="9:27">
      <c r="I128" s="141"/>
      <c r="J128" s="141"/>
      <c r="K128" s="141"/>
      <c r="L128" s="141"/>
      <c r="M128" s="141"/>
      <c r="N128" s="141"/>
      <c r="O128" s="141"/>
      <c r="P128" s="141"/>
      <c r="Q128" s="141"/>
      <c r="R128" s="141"/>
      <c r="S128" s="141"/>
      <c r="T128" s="141"/>
      <c r="V128" s="141"/>
      <c r="W128" s="141"/>
      <c r="X128" s="141"/>
      <c r="Y128" s="141"/>
      <c r="Z128" s="141"/>
      <c r="AA128" s="141"/>
    </row>
    <row r="129" spans="9:27">
      <c r="I129" s="141"/>
      <c r="J129" s="141"/>
      <c r="K129" s="141"/>
      <c r="L129" s="141"/>
      <c r="M129" s="141"/>
      <c r="N129" s="141"/>
      <c r="O129" s="141"/>
      <c r="P129" s="141"/>
      <c r="Q129" s="141"/>
      <c r="R129" s="141"/>
      <c r="S129" s="141"/>
      <c r="T129" s="141"/>
      <c r="U129" s="141"/>
      <c r="V129" s="141"/>
      <c r="W129" s="141"/>
      <c r="X129" s="141"/>
      <c r="Y129" s="141"/>
      <c r="Z129" s="141"/>
      <c r="AA129" s="141"/>
    </row>
    <row r="130" spans="9:27">
      <c r="I130" s="141"/>
      <c r="J130" s="141"/>
      <c r="K130" s="141"/>
      <c r="L130" s="141"/>
      <c r="M130" s="141"/>
      <c r="N130" s="141"/>
      <c r="O130" s="141"/>
      <c r="P130" s="141"/>
      <c r="Q130" s="141"/>
      <c r="R130" s="141"/>
      <c r="S130" s="141"/>
      <c r="T130" s="141"/>
      <c r="U130" s="141"/>
      <c r="V130" s="141"/>
      <c r="W130" s="141"/>
      <c r="X130" s="141"/>
      <c r="Y130" s="141"/>
      <c r="Z130" s="141"/>
      <c r="AA130" s="141"/>
    </row>
    <row r="131" spans="9:27">
      <c r="I131" s="141"/>
      <c r="J131" s="141"/>
      <c r="K131" s="141"/>
      <c r="L131" s="141"/>
      <c r="M131" s="141"/>
      <c r="N131" s="141"/>
      <c r="O131" s="141"/>
      <c r="P131" s="141"/>
      <c r="Q131" s="141"/>
      <c r="R131" s="141"/>
      <c r="S131" s="141"/>
      <c r="T131" s="141"/>
      <c r="U131" s="141"/>
      <c r="V131" s="141"/>
      <c r="W131" s="141"/>
      <c r="X131" s="141"/>
      <c r="Y131" s="141"/>
      <c r="Z131" s="141"/>
      <c r="AA131" s="141"/>
    </row>
    <row r="132" spans="9:27">
      <c r="I132" s="141"/>
      <c r="J132" s="141"/>
      <c r="K132" s="141"/>
      <c r="L132" s="141"/>
      <c r="M132" s="141"/>
      <c r="N132" s="141"/>
      <c r="O132" s="141"/>
      <c r="P132" s="141"/>
      <c r="Q132" s="141"/>
      <c r="R132" s="141"/>
      <c r="S132" s="141"/>
      <c r="T132" s="141"/>
      <c r="V132" s="141"/>
      <c r="W132" s="141"/>
      <c r="X132" s="141"/>
      <c r="Y132" s="141"/>
      <c r="Z132" s="141"/>
      <c r="AA132" s="141"/>
    </row>
    <row r="133" spans="9:27">
      <c r="I133" s="141"/>
      <c r="J133" s="141"/>
      <c r="K133" s="141"/>
      <c r="L133" s="141"/>
      <c r="M133" s="141"/>
      <c r="N133" s="141"/>
      <c r="O133" s="141"/>
      <c r="P133" s="141"/>
      <c r="Q133" s="141"/>
      <c r="R133" s="141"/>
      <c r="S133" s="141"/>
      <c r="T133" s="141"/>
      <c r="V133" s="141"/>
      <c r="W133" s="141"/>
      <c r="Y133" s="141"/>
      <c r="Z133" s="141"/>
      <c r="AA133" s="141"/>
    </row>
    <row r="134" spans="9:27">
      <c r="I134" s="141"/>
      <c r="J134" s="141"/>
      <c r="K134" s="141"/>
      <c r="L134" s="141"/>
      <c r="M134" s="141"/>
      <c r="N134" s="141"/>
      <c r="O134" s="141"/>
      <c r="P134" s="141"/>
      <c r="Q134" s="141"/>
      <c r="R134" s="141"/>
      <c r="S134" s="141"/>
      <c r="T134" s="141"/>
      <c r="U134" s="141"/>
      <c r="V134" s="141"/>
      <c r="W134" s="141"/>
      <c r="Y134" s="141"/>
      <c r="Z134" s="141"/>
      <c r="AA134" s="141"/>
    </row>
    <row r="135" spans="9:27">
      <c r="I135" s="141"/>
      <c r="J135" s="141"/>
      <c r="K135" s="141"/>
      <c r="L135" s="141"/>
      <c r="M135" s="141"/>
      <c r="N135" s="141"/>
      <c r="O135" s="141"/>
      <c r="P135" s="141"/>
      <c r="Q135" s="141"/>
      <c r="R135" s="141"/>
      <c r="S135" s="141"/>
      <c r="T135" s="141"/>
      <c r="U135" s="141"/>
      <c r="V135" s="141"/>
      <c r="W135" s="141"/>
      <c r="Y135" s="141"/>
      <c r="Z135" s="141"/>
      <c r="AA135" s="141"/>
    </row>
  </sheetData>
  <sheetProtection password="CDFC" sheet="1" objects="1" scenarios="1"/>
  <sortState ref="R78:T127">
    <sortCondition ref="R78:R127"/>
  </sortState>
  <mergeCells count="5">
    <mergeCell ref="F3:H3"/>
    <mergeCell ref="I3:P3"/>
    <mergeCell ref="F2:AA2"/>
    <mergeCell ref="T3:X3"/>
    <mergeCell ref="T4:U4"/>
  </mergeCells>
  <printOptions horizontalCentered="1" gridLines="1"/>
  <pageMargins left="0" right="0" top="0.39370078740157483" bottom="0.39370078740157483" header="0.11811023622047245" footer="0.11811023622047245"/>
  <pageSetup paperSize="8" scale="61" orientation="landscape" r:id="rId1"/>
  <headerFooter>
    <oddHeader>&amp;C&amp;"Arial,Bold"&amp;12TABLE 4 - OCTOBER 2016 PUPIL NUMBERS AND DATASET</oddHeader>
    <oddFooter>&amp;L&amp;"Arial,Regular"&amp;10&amp;Z&amp;F \ &amp;A&amp;C&amp;"-,Bold"&amp;12&amp;P of &amp;N&amp;R&amp;"Arial,Regular"&amp;10&amp;D /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75"/>
  <sheetViews>
    <sheetView zoomScale="75" zoomScaleNormal="75"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B3" sqref="B3"/>
    </sheetView>
  </sheetViews>
  <sheetFormatPr defaultRowHeight="15"/>
  <cols>
    <col min="1" max="1" width="0.85546875" style="1" customWidth="1"/>
    <col min="2" max="2" width="6.85546875" style="59" bestFit="1" customWidth="1"/>
    <col min="3" max="3" width="34.28515625" style="1" bestFit="1" customWidth="1"/>
    <col min="4" max="4" width="11.42578125" style="5" hidden="1" customWidth="1"/>
    <col min="5" max="5" width="13.85546875" style="5" customWidth="1"/>
    <col min="6" max="6" width="0.85546875" style="218" customWidth="1"/>
    <col min="7" max="7" width="12.85546875" style="2" customWidth="1"/>
    <col min="8" max="8" width="14.5703125" style="2" bestFit="1" customWidth="1"/>
    <col min="9" max="9" width="10.140625" style="2" bestFit="1" customWidth="1"/>
    <col min="10" max="10" width="14.5703125" style="2" bestFit="1" customWidth="1"/>
    <col min="11" max="11" width="10.140625" style="2" bestFit="1" customWidth="1"/>
    <col min="12" max="12" width="13.85546875" style="2" bestFit="1" customWidth="1"/>
    <col min="13" max="13" width="10.140625" style="2" bestFit="1" customWidth="1"/>
    <col min="14" max="14" width="9.28515625" style="3" bestFit="1" customWidth="1"/>
    <col min="15" max="15" width="14.5703125" style="2" bestFit="1" customWidth="1"/>
    <col min="16" max="16" width="10.140625" style="2" bestFit="1" customWidth="1"/>
    <col min="17" max="17" width="13.85546875" style="2" bestFit="1" customWidth="1"/>
    <col min="18" max="18" width="10.140625" style="2" bestFit="1" customWidth="1"/>
    <col min="19" max="19" width="9.28515625" style="3" bestFit="1" customWidth="1"/>
    <col min="20" max="20" width="14.5703125" style="2" bestFit="1" customWidth="1"/>
    <col min="21" max="21" width="10.140625" style="2" bestFit="1" customWidth="1"/>
    <col min="22" max="22" width="13.85546875" style="2" bestFit="1" customWidth="1"/>
    <col min="23" max="23" width="10.140625" style="2" bestFit="1" customWidth="1"/>
    <col min="24" max="24" width="9.28515625" style="3" bestFit="1" customWidth="1"/>
    <col min="25" max="16384" width="9.140625" style="1"/>
  </cols>
  <sheetData>
    <row r="1" spans="2:24" ht="5.0999999999999996" customHeight="1" thickBot="1"/>
    <row r="2" spans="2:24" ht="16.5" hidden="1" thickTop="1" thickBot="1">
      <c r="B2" s="62"/>
    </row>
    <row r="3" spans="2:24" ht="17.25" thickTop="1" thickBot="1">
      <c r="B3" s="62"/>
      <c r="C3" s="220"/>
      <c r="D3" s="228"/>
      <c r="E3" s="231" t="s">
        <v>16</v>
      </c>
      <c r="F3" s="219"/>
      <c r="G3" s="476" t="s">
        <v>257</v>
      </c>
      <c r="H3" s="477"/>
      <c r="I3" s="477"/>
      <c r="J3" s="477"/>
      <c r="K3" s="477"/>
      <c r="L3" s="477"/>
      <c r="M3" s="477"/>
      <c r="N3" s="477"/>
      <c r="O3" s="477"/>
      <c r="P3" s="477"/>
      <c r="Q3" s="477"/>
      <c r="R3" s="477"/>
      <c r="S3" s="477"/>
      <c r="T3" s="477"/>
      <c r="U3" s="477"/>
      <c r="V3" s="477"/>
      <c r="W3" s="477"/>
      <c r="X3" s="478"/>
    </row>
    <row r="4" spans="2:24" s="4" customFormat="1" ht="15.75">
      <c r="B4" s="199" t="s">
        <v>162</v>
      </c>
      <c r="C4" s="221"/>
      <c r="D4" s="221"/>
      <c r="E4" s="222" t="s">
        <v>14</v>
      </c>
      <c r="F4" s="221"/>
      <c r="G4" s="232" t="s">
        <v>141</v>
      </c>
      <c r="H4" s="481" t="s">
        <v>142</v>
      </c>
      <c r="I4" s="482"/>
      <c r="J4" s="481" t="s">
        <v>146</v>
      </c>
      <c r="K4" s="482"/>
      <c r="L4" s="481" t="s">
        <v>2</v>
      </c>
      <c r="M4" s="483"/>
      <c r="N4" s="482"/>
      <c r="O4" s="481" t="s">
        <v>147</v>
      </c>
      <c r="P4" s="482"/>
      <c r="Q4" s="481" t="s">
        <v>2</v>
      </c>
      <c r="R4" s="483"/>
      <c r="S4" s="482"/>
      <c r="T4" s="481" t="s">
        <v>148</v>
      </c>
      <c r="U4" s="482"/>
      <c r="V4" s="481" t="s">
        <v>2</v>
      </c>
      <c r="W4" s="483"/>
      <c r="X4" s="487"/>
    </row>
    <row r="5" spans="2:24" s="4" customFormat="1" ht="15.75">
      <c r="B5" s="199" t="s">
        <v>164</v>
      </c>
      <c r="C5" s="221"/>
      <c r="D5" s="221"/>
      <c r="E5" s="222" t="s">
        <v>17</v>
      </c>
      <c r="F5" s="221"/>
      <c r="G5" s="233" t="s">
        <v>5</v>
      </c>
      <c r="H5" s="479" t="s">
        <v>76</v>
      </c>
      <c r="I5" s="480"/>
      <c r="J5" s="479" t="s">
        <v>76</v>
      </c>
      <c r="K5" s="480"/>
      <c r="L5" s="484" t="s">
        <v>143</v>
      </c>
      <c r="M5" s="485"/>
      <c r="N5" s="486"/>
      <c r="O5" s="479" t="s">
        <v>76</v>
      </c>
      <c r="P5" s="480"/>
      <c r="Q5" s="484" t="s">
        <v>149</v>
      </c>
      <c r="R5" s="485"/>
      <c r="S5" s="486"/>
      <c r="T5" s="479" t="s">
        <v>76</v>
      </c>
      <c r="U5" s="480"/>
      <c r="V5" s="484" t="s">
        <v>144</v>
      </c>
      <c r="W5" s="485"/>
      <c r="X5" s="488"/>
    </row>
    <row r="6" spans="2:24" s="4" customFormat="1" ht="15.75">
      <c r="B6" s="200"/>
      <c r="C6" s="223"/>
      <c r="D6" s="221" t="s">
        <v>14</v>
      </c>
      <c r="E6" s="222"/>
      <c r="F6" s="221"/>
      <c r="G6" s="233" t="s">
        <v>6</v>
      </c>
      <c r="H6" s="193" t="s">
        <v>0</v>
      </c>
      <c r="I6" s="194" t="s">
        <v>75</v>
      </c>
      <c r="J6" s="193" t="s">
        <v>0</v>
      </c>
      <c r="K6" s="194" t="s">
        <v>75</v>
      </c>
      <c r="L6" s="193" t="s">
        <v>0</v>
      </c>
      <c r="M6" s="195" t="s">
        <v>75</v>
      </c>
      <c r="N6" s="196" t="s">
        <v>3</v>
      </c>
      <c r="O6" s="193" t="s">
        <v>0</v>
      </c>
      <c r="P6" s="194" t="s">
        <v>75</v>
      </c>
      <c r="Q6" s="193" t="s">
        <v>0</v>
      </c>
      <c r="R6" s="195" t="s">
        <v>75</v>
      </c>
      <c r="S6" s="196" t="s">
        <v>3</v>
      </c>
      <c r="T6" s="193" t="s">
        <v>0</v>
      </c>
      <c r="U6" s="194" t="s">
        <v>75</v>
      </c>
      <c r="V6" s="193" t="s">
        <v>0</v>
      </c>
      <c r="W6" s="195" t="s">
        <v>75</v>
      </c>
      <c r="X6" s="234" t="s">
        <v>3</v>
      </c>
    </row>
    <row r="7" spans="2:24" s="4" customFormat="1" ht="24.95" customHeight="1">
      <c r="B7" s="198"/>
      <c r="C7" s="75" t="s">
        <v>166</v>
      </c>
      <c r="D7" s="221"/>
      <c r="E7" s="222"/>
      <c r="F7" s="221"/>
      <c r="G7" s="233"/>
      <c r="H7" s="189"/>
      <c r="I7" s="190"/>
      <c r="J7" s="189"/>
      <c r="K7" s="190"/>
      <c r="L7" s="189"/>
      <c r="M7" s="191"/>
      <c r="N7" s="192"/>
      <c r="O7" s="189"/>
      <c r="P7" s="190"/>
      <c r="Q7" s="189"/>
      <c r="R7" s="191"/>
      <c r="S7" s="192"/>
      <c r="T7" s="189"/>
      <c r="U7" s="190"/>
      <c r="V7" s="189"/>
      <c r="W7" s="191"/>
      <c r="X7" s="235"/>
    </row>
    <row r="8" spans="2:24">
      <c r="B8" s="198">
        <v>2000</v>
      </c>
      <c r="C8" s="201" t="s">
        <v>9</v>
      </c>
      <c r="D8" s="218" t="s">
        <v>15</v>
      </c>
      <c r="E8" s="256"/>
      <c r="G8" s="236">
        <v>293</v>
      </c>
      <c r="H8" s="6">
        <v>940000</v>
      </c>
      <c r="I8" s="7">
        <f t="shared" ref="I8:I39" si="0">H8/$G8</f>
        <v>3208.1911262798635</v>
      </c>
      <c r="J8" s="6">
        <v>996000</v>
      </c>
      <c r="K8" s="7">
        <f t="shared" ref="K8:K39" si="1">J8/$G8</f>
        <v>3399.3174061433447</v>
      </c>
      <c r="L8" s="8">
        <f t="shared" ref="L8:L39" si="2">J8-H8</f>
        <v>56000</v>
      </c>
      <c r="M8" s="9">
        <f t="shared" ref="M8:M39" si="3">L8/$G8</f>
        <v>191.12627986348122</v>
      </c>
      <c r="N8" s="10">
        <f t="shared" ref="N8:N39" si="4">L8/H8</f>
        <v>5.9574468085106386E-2</v>
      </c>
      <c r="O8" s="6">
        <v>1055000</v>
      </c>
      <c r="P8" s="7">
        <f t="shared" ref="P8:P39" si="5">O8/$G8</f>
        <v>3600.6825938566553</v>
      </c>
      <c r="Q8" s="8">
        <f t="shared" ref="Q8:Q39" si="6">O8-H8</f>
        <v>115000</v>
      </c>
      <c r="R8" s="9">
        <f t="shared" ref="R8:R39" si="7">Q8/$G8</f>
        <v>392.49146757679182</v>
      </c>
      <c r="S8" s="10">
        <f t="shared" ref="S8:S39" si="8">Q8/H8</f>
        <v>0.12234042553191489</v>
      </c>
      <c r="T8" s="6">
        <v>1055000</v>
      </c>
      <c r="U8" s="7">
        <f t="shared" ref="U8:U39" si="9">T8/$G8</f>
        <v>3600.6825938566553</v>
      </c>
      <c r="V8" s="8">
        <f t="shared" ref="V8:V39" si="10">T8-H8</f>
        <v>115000</v>
      </c>
      <c r="W8" s="9">
        <f t="shared" ref="W8:W39" si="11">V8/$G8</f>
        <v>392.49146757679182</v>
      </c>
      <c r="X8" s="237">
        <f t="shared" ref="X8:X39" si="12">V8/H8</f>
        <v>0.12234042553191489</v>
      </c>
    </row>
    <row r="9" spans="2:24">
      <c r="B9" s="198">
        <v>3229</v>
      </c>
      <c r="C9" s="201" t="s">
        <v>11</v>
      </c>
      <c r="D9" s="218" t="s">
        <v>15</v>
      </c>
      <c r="E9" s="256"/>
      <c r="G9" s="236">
        <v>248</v>
      </c>
      <c r="H9" s="6">
        <v>828000</v>
      </c>
      <c r="I9" s="7">
        <f t="shared" si="0"/>
        <v>3338.7096774193546</v>
      </c>
      <c r="J9" s="6">
        <v>849000</v>
      </c>
      <c r="K9" s="7">
        <f t="shared" si="1"/>
        <v>3423.3870967741937</v>
      </c>
      <c r="L9" s="8">
        <f t="shared" si="2"/>
        <v>21000</v>
      </c>
      <c r="M9" s="9">
        <f t="shared" si="3"/>
        <v>84.677419354838705</v>
      </c>
      <c r="N9" s="10">
        <f t="shared" si="4"/>
        <v>2.5362318840579712E-2</v>
      </c>
      <c r="O9" s="6">
        <v>880000</v>
      </c>
      <c r="P9" s="7">
        <f t="shared" si="5"/>
        <v>3548.3870967741937</v>
      </c>
      <c r="Q9" s="8">
        <f t="shared" si="6"/>
        <v>52000</v>
      </c>
      <c r="R9" s="9">
        <f t="shared" si="7"/>
        <v>209.67741935483872</v>
      </c>
      <c r="S9" s="10">
        <f t="shared" si="8"/>
        <v>6.280193236714976E-2</v>
      </c>
      <c r="T9" s="6">
        <v>890000</v>
      </c>
      <c r="U9" s="7">
        <f t="shared" si="9"/>
        <v>3588.7096774193546</v>
      </c>
      <c r="V9" s="8">
        <f t="shared" si="10"/>
        <v>62000</v>
      </c>
      <c r="W9" s="9">
        <f t="shared" si="11"/>
        <v>250</v>
      </c>
      <c r="X9" s="237">
        <f t="shared" si="12"/>
        <v>7.4879227053140096E-2</v>
      </c>
    </row>
    <row r="10" spans="2:24">
      <c r="B10" s="198">
        <v>2431</v>
      </c>
      <c r="C10" s="201" t="s">
        <v>13</v>
      </c>
      <c r="D10" s="218" t="s">
        <v>69</v>
      </c>
      <c r="E10" s="256" t="s">
        <v>70</v>
      </c>
      <c r="G10" s="236">
        <v>194</v>
      </c>
      <c r="H10" s="6">
        <v>722000</v>
      </c>
      <c r="I10" s="7">
        <f t="shared" si="0"/>
        <v>3721.6494845360826</v>
      </c>
      <c r="J10" s="6">
        <v>740000</v>
      </c>
      <c r="K10" s="7">
        <f t="shared" si="1"/>
        <v>3814.4329896907216</v>
      </c>
      <c r="L10" s="8">
        <f t="shared" si="2"/>
        <v>18000</v>
      </c>
      <c r="M10" s="9">
        <f t="shared" si="3"/>
        <v>92.783505154639172</v>
      </c>
      <c r="N10" s="10">
        <f t="shared" si="4"/>
        <v>2.4930747922437674E-2</v>
      </c>
      <c r="O10" s="6">
        <v>759000</v>
      </c>
      <c r="P10" s="7">
        <f t="shared" si="5"/>
        <v>3912.3711340206187</v>
      </c>
      <c r="Q10" s="8">
        <f t="shared" si="6"/>
        <v>37000</v>
      </c>
      <c r="R10" s="9">
        <f t="shared" si="7"/>
        <v>190.72164948453607</v>
      </c>
      <c r="S10" s="10">
        <f t="shared" si="8"/>
        <v>5.1246537396121887E-2</v>
      </c>
      <c r="T10" s="6">
        <v>759000</v>
      </c>
      <c r="U10" s="7">
        <f t="shared" si="9"/>
        <v>3912.3711340206187</v>
      </c>
      <c r="V10" s="8">
        <f t="shared" si="10"/>
        <v>37000</v>
      </c>
      <c r="W10" s="9">
        <f t="shared" si="11"/>
        <v>190.72164948453607</v>
      </c>
      <c r="X10" s="237">
        <f t="shared" si="12"/>
        <v>5.1246537396121887E-2</v>
      </c>
    </row>
    <row r="11" spans="2:24">
      <c r="B11" s="198">
        <v>2386</v>
      </c>
      <c r="C11" s="201" t="s">
        <v>18</v>
      </c>
      <c r="D11" s="218" t="s">
        <v>15</v>
      </c>
      <c r="E11" s="256"/>
      <c r="G11" s="236">
        <v>171</v>
      </c>
      <c r="H11" s="6">
        <v>600000</v>
      </c>
      <c r="I11" s="7">
        <f t="shared" si="0"/>
        <v>3508.7719298245615</v>
      </c>
      <c r="J11" s="6">
        <v>615000</v>
      </c>
      <c r="K11" s="7">
        <f t="shared" si="1"/>
        <v>3596.4912280701756</v>
      </c>
      <c r="L11" s="8">
        <f t="shared" si="2"/>
        <v>15000</v>
      </c>
      <c r="M11" s="9">
        <f t="shared" si="3"/>
        <v>87.719298245614041</v>
      </c>
      <c r="N11" s="10">
        <f t="shared" si="4"/>
        <v>2.5000000000000001E-2</v>
      </c>
      <c r="O11" s="6">
        <v>629000</v>
      </c>
      <c r="P11" s="7">
        <f t="shared" si="5"/>
        <v>3678.3625730994154</v>
      </c>
      <c r="Q11" s="8">
        <f t="shared" si="6"/>
        <v>29000</v>
      </c>
      <c r="R11" s="9">
        <f t="shared" si="7"/>
        <v>169.59064327485379</v>
      </c>
      <c r="S11" s="10">
        <f t="shared" si="8"/>
        <v>4.8333333333333332E-2</v>
      </c>
      <c r="T11" s="6">
        <v>633000</v>
      </c>
      <c r="U11" s="7">
        <f t="shared" si="9"/>
        <v>3701.7543859649122</v>
      </c>
      <c r="V11" s="8">
        <f t="shared" si="10"/>
        <v>33000</v>
      </c>
      <c r="W11" s="9">
        <f t="shared" si="11"/>
        <v>192.98245614035088</v>
      </c>
      <c r="X11" s="237">
        <f t="shared" si="12"/>
        <v>5.5E-2</v>
      </c>
    </row>
    <row r="12" spans="2:24">
      <c r="B12" s="198">
        <v>2024</v>
      </c>
      <c r="C12" s="201" t="s">
        <v>19</v>
      </c>
      <c r="D12" s="218" t="s">
        <v>69</v>
      </c>
      <c r="E12" s="256" t="s">
        <v>71</v>
      </c>
      <c r="G12" s="236">
        <v>160</v>
      </c>
      <c r="H12" s="6">
        <v>707000</v>
      </c>
      <c r="I12" s="7">
        <f t="shared" si="0"/>
        <v>4418.75</v>
      </c>
      <c r="J12" s="6">
        <v>725000</v>
      </c>
      <c r="K12" s="7">
        <f t="shared" si="1"/>
        <v>4531.25</v>
      </c>
      <c r="L12" s="8">
        <f t="shared" si="2"/>
        <v>18000</v>
      </c>
      <c r="M12" s="9">
        <f t="shared" si="3"/>
        <v>112.5</v>
      </c>
      <c r="N12" s="10">
        <f t="shared" si="4"/>
        <v>2.5459688826025461E-2</v>
      </c>
      <c r="O12" s="6">
        <v>729000</v>
      </c>
      <c r="P12" s="7">
        <f t="shared" si="5"/>
        <v>4556.25</v>
      </c>
      <c r="Q12" s="8">
        <f t="shared" si="6"/>
        <v>22000</v>
      </c>
      <c r="R12" s="9">
        <f t="shared" si="7"/>
        <v>137.5</v>
      </c>
      <c r="S12" s="10">
        <f t="shared" si="8"/>
        <v>3.1117397454031116E-2</v>
      </c>
      <c r="T12" s="6">
        <v>729000</v>
      </c>
      <c r="U12" s="7">
        <f t="shared" si="9"/>
        <v>4556.25</v>
      </c>
      <c r="V12" s="8">
        <f t="shared" si="10"/>
        <v>22000</v>
      </c>
      <c r="W12" s="9">
        <f t="shared" si="11"/>
        <v>137.5</v>
      </c>
      <c r="X12" s="237">
        <f t="shared" si="12"/>
        <v>3.1117397454031116E-2</v>
      </c>
    </row>
    <row r="13" spans="2:24">
      <c r="B13" s="198">
        <v>2003</v>
      </c>
      <c r="C13" s="201" t="s">
        <v>20</v>
      </c>
      <c r="D13" s="218" t="s">
        <v>15</v>
      </c>
      <c r="E13" s="256"/>
      <c r="G13" s="236">
        <v>250</v>
      </c>
      <c r="H13" s="6">
        <v>915000</v>
      </c>
      <c r="I13" s="7">
        <f t="shared" si="0"/>
        <v>3660</v>
      </c>
      <c r="J13" s="6">
        <v>939000</v>
      </c>
      <c r="K13" s="7">
        <f t="shared" si="1"/>
        <v>3756</v>
      </c>
      <c r="L13" s="8">
        <f t="shared" si="2"/>
        <v>24000</v>
      </c>
      <c r="M13" s="9">
        <f t="shared" si="3"/>
        <v>96</v>
      </c>
      <c r="N13" s="10">
        <f t="shared" si="4"/>
        <v>2.6229508196721311E-2</v>
      </c>
      <c r="O13" s="6">
        <v>958000</v>
      </c>
      <c r="P13" s="7">
        <f t="shared" si="5"/>
        <v>3832</v>
      </c>
      <c r="Q13" s="8">
        <f t="shared" si="6"/>
        <v>43000</v>
      </c>
      <c r="R13" s="9">
        <f t="shared" si="7"/>
        <v>172</v>
      </c>
      <c r="S13" s="10">
        <f t="shared" si="8"/>
        <v>4.6994535519125684E-2</v>
      </c>
      <c r="T13" s="6">
        <v>958000</v>
      </c>
      <c r="U13" s="7">
        <f t="shared" si="9"/>
        <v>3832</v>
      </c>
      <c r="V13" s="8">
        <f t="shared" si="10"/>
        <v>43000</v>
      </c>
      <c r="W13" s="9">
        <f t="shared" si="11"/>
        <v>172</v>
      </c>
      <c r="X13" s="237">
        <f t="shared" si="12"/>
        <v>4.6994535519125684E-2</v>
      </c>
    </row>
    <row r="14" spans="2:24">
      <c r="B14" s="198">
        <v>2002</v>
      </c>
      <c r="C14" s="201" t="s">
        <v>21</v>
      </c>
      <c r="D14" s="218" t="s">
        <v>15</v>
      </c>
      <c r="E14" s="256"/>
      <c r="G14" s="236">
        <v>281</v>
      </c>
      <c r="H14" s="6">
        <v>1025000</v>
      </c>
      <c r="I14" s="7">
        <f t="shared" si="0"/>
        <v>3647.6868327402135</v>
      </c>
      <c r="J14" s="6">
        <v>1052000</v>
      </c>
      <c r="K14" s="7">
        <f t="shared" si="1"/>
        <v>3743.7722419928828</v>
      </c>
      <c r="L14" s="8">
        <f t="shared" si="2"/>
        <v>27000</v>
      </c>
      <c r="M14" s="9">
        <f t="shared" si="3"/>
        <v>96.085409252669038</v>
      </c>
      <c r="N14" s="10">
        <f t="shared" si="4"/>
        <v>2.6341463414634145E-2</v>
      </c>
      <c r="O14" s="6">
        <v>1080000</v>
      </c>
      <c r="P14" s="7">
        <f t="shared" si="5"/>
        <v>3843.4163701067614</v>
      </c>
      <c r="Q14" s="8">
        <f t="shared" si="6"/>
        <v>55000</v>
      </c>
      <c r="R14" s="9">
        <f t="shared" si="7"/>
        <v>195.72953736654804</v>
      </c>
      <c r="S14" s="10">
        <f t="shared" si="8"/>
        <v>5.3658536585365853E-2</v>
      </c>
      <c r="T14" s="6">
        <v>1112000</v>
      </c>
      <c r="U14" s="7">
        <f t="shared" si="9"/>
        <v>3957.2953736654804</v>
      </c>
      <c r="V14" s="8">
        <f t="shared" si="10"/>
        <v>87000</v>
      </c>
      <c r="W14" s="9">
        <f t="shared" si="11"/>
        <v>309.60854092526688</v>
      </c>
      <c r="X14" s="237">
        <f t="shared" si="12"/>
        <v>8.4878048780487811E-2</v>
      </c>
    </row>
    <row r="15" spans="2:24">
      <c r="B15" s="198">
        <v>2018</v>
      </c>
      <c r="C15" s="201" t="s">
        <v>22</v>
      </c>
      <c r="D15" s="218" t="s">
        <v>15</v>
      </c>
      <c r="E15" s="256"/>
      <c r="G15" s="236">
        <v>386</v>
      </c>
      <c r="H15" s="6">
        <v>1453000</v>
      </c>
      <c r="I15" s="7">
        <f t="shared" si="0"/>
        <v>3764.2487046632123</v>
      </c>
      <c r="J15" s="6">
        <v>1492000</v>
      </c>
      <c r="K15" s="7">
        <f t="shared" si="1"/>
        <v>3865.2849740932643</v>
      </c>
      <c r="L15" s="8">
        <f t="shared" si="2"/>
        <v>39000</v>
      </c>
      <c r="M15" s="9">
        <f t="shared" si="3"/>
        <v>101.03626943005182</v>
      </c>
      <c r="N15" s="10">
        <f t="shared" si="4"/>
        <v>2.6841018582243633E-2</v>
      </c>
      <c r="O15" s="6">
        <v>1533000</v>
      </c>
      <c r="P15" s="7">
        <f t="shared" si="5"/>
        <v>3971.502590673575</v>
      </c>
      <c r="Q15" s="8">
        <f t="shared" si="6"/>
        <v>80000</v>
      </c>
      <c r="R15" s="9">
        <f t="shared" si="7"/>
        <v>207.25388601036269</v>
      </c>
      <c r="S15" s="10">
        <f t="shared" si="8"/>
        <v>5.5058499655884378E-2</v>
      </c>
      <c r="T15" s="6">
        <v>1598000</v>
      </c>
      <c r="U15" s="7">
        <f t="shared" si="9"/>
        <v>4139.8963730569949</v>
      </c>
      <c r="V15" s="8">
        <f t="shared" si="10"/>
        <v>145000</v>
      </c>
      <c r="W15" s="9">
        <f t="shared" si="11"/>
        <v>375.6476683937824</v>
      </c>
      <c r="X15" s="237">
        <f t="shared" si="12"/>
        <v>9.9793530626290428E-2</v>
      </c>
    </row>
    <row r="16" spans="2:24">
      <c r="B16" s="198">
        <v>2430</v>
      </c>
      <c r="C16" s="201" t="s">
        <v>23</v>
      </c>
      <c r="D16" s="218" t="s">
        <v>69</v>
      </c>
      <c r="E16" s="256" t="s">
        <v>70</v>
      </c>
      <c r="G16" s="236">
        <v>603</v>
      </c>
      <c r="H16" s="6">
        <v>1815000</v>
      </c>
      <c r="I16" s="7">
        <f t="shared" si="0"/>
        <v>3009.950248756219</v>
      </c>
      <c r="J16" s="6">
        <v>2063000</v>
      </c>
      <c r="K16" s="7">
        <f t="shared" si="1"/>
        <v>3421.2271973466004</v>
      </c>
      <c r="L16" s="8">
        <f t="shared" si="2"/>
        <v>248000</v>
      </c>
      <c r="M16" s="9">
        <f t="shared" si="3"/>
        <v>411.27694859038144</v>
      </c>
      <c r="N16" s="10">
        <f t="shared" si="4"/>
        <v>0.13663911845730028</v>
      </c>
      <c r="O16" s="6">
        <v>2183000</v>
      </c>
      <c r="P16" s="7">
        <f t="shared" si="5"/>
        <v>3620.2321724709786</v>
      </c>
      <c r="Q16" s="8">
        <f t="shared" si="6"/>
        <v>368000</v>
      </c>
      <c r="R16" s="9">
        <f t="shared" si="7"/>
        <v>610.2819237147595</v>
      </c>
      <c r="S16" s="10">
        <f t="shared" si="8"/>
        <v>0.20275482093663913</v>
      </c>
      <c r="T16" s="6">
        <v>2183000</v>
      </c>
      <c r="U16" s="7">
        <f t="shared" si="9"/>
        <v>3620.2321724709786</v>
      </c>
      <c r="V16" s="8">
        <f t="shared" si="10"/>
        <v>368000</v>
      </c>
      <c r="W16" s="9">
        <f t="shared" si="11"/>
        <v>610.2819237147595</v>
      </c>
      <c r="X16" s="237">
        <f t="shared" si="12"/>
        <v>0.20275482093663913</v>
      </c>
    </row>
    <row r="17" spans="2:24">
      <c r="B17" s="198">
        <v>2013</v>
      </c>
      <c r="C17" s="201" t="s">
        <v>24</v>
      </c>
      <c r="D17" s="218" t="s">
        <v>15</v>
      </c>
      <c r="E17" s="256"/>
      <c r="G17" s="236">
        <v>396</v>
      </c>
      <c r="H17" s="6">
        <v>1181000</v>
      </c>
      <c r="I17" s="7">
        <f t="shared" si="0"/>
        <v>2982.3232323232323</v>
      </c>
      <c r="J17" s="6">
        <v>1327000</v>
      </c>
      <c r="K17" s="7">
        <f t="shared" si="1"/>
        <v>3351.0101010101012</v>
      </c>
      <c r="L17" s="8">
        <f t="shared" si="2"/>
        <v>146000</v>
      </c>
      <c r="M17" s="9">
        <f t="shared" si="3"/>
        <v>368.68686868686871</v>
      </c>
      <c r="N17" s="10">
        <f t="shared" si="4"/>
        <v>0.12362404741744284</v>
      </c>
      <c r="O17" s="6">
        <v>1406000</v>
      </c>
      <c r="P17" s="7">
        <f t="shared" si="5"/>
        <v>3550.5050505050503</v>
      </c>
      <c r="Q17" s="8">
        <f t="shared" si="6"/>
        <v>225000</v>
      </c>
      <c r="R17" s="9">
        <f t="shared" si="7"/>
        <v>568.18181818181813</v>
      </c>
      <c r="S17" s="10">
        <f t="shared" si="8"/>
        <v>0.19051651143099069</v>
      </c>
      <c r="T17" s="6">
        <v>1406000</v>
      </c>
      <c r="U17" s="7">
        <f t="shared" si="9"/>
        <v>3550.5050505050503</v>
      </c>
      <c r="V17" s="8">
        <f t="shared" si="10"/>
        <v>225000</v>
      </c>
      <c r="W17" s="9">
        <f t="shared" si="11"/>
        <v>568.18181818181813</v>
      </c>
      <c r="X17" s="237">
        <f t="shared" si="12"/>
        <v>0.19051651143099069</v>
      </c>
    </row>
    <row r="18" spans="2:24">
      <c r="B18" s="198">
        <v>2007</v>
      </c>
      <c r="C18" s="201" t="s">
        <v>25</v>
      </c>
      <c r="D18" s="218" t="s">
        <v>15</v>
      </c>
      <c r="E18" s="256"/>
      <c r="G18" s="236">
        <v>290</v>
      </c>
      <c r="H18" s="6">
        <v>946000</v>
      </c>
      <c r="I18" s="7">
        <f t="shared" si="0"/>
        <v>3262.0689655172414</v>
      </c>
      <c r="J18" s="6">
        <v>976000</v>
      </c>
      <c r="K18" s="7">
        <f t="shared" si="1"/>
        <v>3365.5172413793102</v>
      </c>
      <c r="L18" s="8">
        <f t="shared" si="2"/>
        <v>30000</v>
      </c>
      <c r="M18" s="9">
        <f t="shared" si="3"/>
        <v>103.44827586206897</v>
      </c>
      <c r="N18" s="10">
        <f t="shared" si="4"/>
        <v>3.1712473572938688E-2</v>
      </c>
      <c r="O18" s="6">
        <v>1034000</v>
      </c>
      <c r="P18" s="7">
        <f t="shared" si="5"/>
        <v>3565.5172413793102</v>
      </c>
      <c r="Q18" s="8">
        <f t="shared" si="6"/>
        <v>88000</v>
      </c>
      <c r="R18" s="9">
        <f t="shared" si="7"/>
        <v>303.44827586206895</v>
      </c>
      <c r="S18" s="10">
        <f t="shared" si="8"/>
        <v>9.3023255813953487E-2</v>
      </c>
      <c r="T18" s="6">
        <v>1042000</v>
      </c>
      <c r="U18" s="7">
        <f t="shared" si="9"/>
        <v>3593.1034482758619</v>
      </c>
      <c r="V18" s="8">
        <f t="shared" si="10"/>
        <v>96000</v>
      </c>
      <c r="W18" s="9">
        <f t="shared" si="11"/>
        <v>331.0344827586207</v>
      </c>
      <c r="X18" s="237">
        <f t="shared" si="12"/>
        <v>0.1014799154334038</v>
      </c>
    </row>
    <row r="19" spans="2:24">
      <c r="B19" s="198">
        <v>3151</v>
      </c>
      <c r="C19" s="201" t="s">
        <v>26</v>
      </c>
      <c r="D19" s="218" t="s">
        <v>15</v>
      </c>
      <c r="E19" s="256"/>
      <c r="G19" s="236">
        <v>253</v>
      </c>
      <c r="H19" s="6">
        <v>822000</v>
      </c>
      <c r="I19" s="7">
        <f t="shared" si="0"/>
        <v>3249.01185770751</v>
      </c>
      <c r="J19" s="6">
        <v>855000</v>
      </c>
      <c r="K19" s="7">
        <f t="shared" si="1"/>
        <v>3379.4466403162055</v>
      </c>
      <c r="L19" s="8">
        <f t="shared" si="2"/>
        <v>33000</v>
      </c>
      <c r="M19" s="9">
        <f t="shared" si="3"/>
        <v>130.43478260869566</v>
      </c>
      <c r="N19" s="10">
        <f t="shared" si="4"/>
        <v>4.0145985401459854E-2</v>
      </c>
      <c r="O19" s="6">
        <v>906000</v>
      </c>
      <c r="P19" s="7">
        <f t="shared" si="5"/>
        <v>3581.0276679841895</v>
      </c>
      <c r="Q19" s="8">
        <f t="shared" si="6"/>
        <v>84000</v>
      </c>
      <c r="R19" s="9">
        <f t="shared" si="7"/>
        <v>332.01581027667982</v>
      </c>
      <c r="S19" s="10">
        <f t="shared" si="8"/>
        <v>0.10218978102189781</v>
      </c>
      <c r="T19" s="6">
        <v>906000</v>
      </c>
      <c r="U19" s="7">
        <f t="shared" si="9"/>
        <v>3581.0276679841895</v>
      </c>
      <c r="V19" s="8">
        <f t="shared" si="10"/>
        <v>84000</v>
      </c>
      <c r="W19" s="9">
        <f t="shared" si="11"/>
        <v>332.01581027667982</v>
      </c>
      <c r="X19" s="237">
        <f t="shared" si="12"/>
        <v>0.10218978102189781</v>
      </c>
    </row>
    <row r="20" spans="2:24">
      <c r="B20" s="198">
        <v>3152</v>
      </c>
      <c r="C20" s="201" t="s">
        <v>27</v>
      </c>
      <c r="D20" s="218" t="s">
        <v>15</v>
      </c>
      <c r="E20" s="256"/>
      <c r="G20" s="236">
        <v>148</v>
      </c>
      <c r="H20" s="6">
        <v>550000</v>
      </c>
      <c r="I20" s="7">
        <f t="shared" si="0"/>
        <v>3716.2162162162163</v>
      </c>
      <c r="J20" s="6">
        <v>562000</v>
      </c>
      <c r="K20" s="7">
        <f t="shared" si="1"/>
        <v>3797.2972972972975</v>
      </c>
      <c r="L20" s="8">
        <f t="shared" si="2"/>
        <v>12000</v>
      </c>
      <c r="M20" s="9">
        <f t="shared" si="3"/>
        <v>81.081081081081081</v>
      </c>
      <c r="N20" s="10">
        <f t="shared" si="4"/>
        <v>2.181818181818182E-2</v>
      </c>
      <c r="O20" s="6">
        <v>565000</v>
      </c>
      <c r="P20" s="7">
        <f t="shared" si="5"/>
        <v>3817.5675675675675</v>
      </c>
      <c r="Q20" s="8">
        <f t="shared" si="6"/>
        <v>15000</v>
      </c>
      <c r="R20" s="9">
        <f t="shared" si="7"/>
        <v>101.35135135135135</v>
      </c>
      <c r="S20" s="10">
        <f t="shared" si="8"/>
        <v>2.7272727272727271E-2</v>
      </c>
      <c r="T20" s="6">
        <v>565000</v>
      </c>
      <c r="U20" s="7">
        <f t="shared" si="9"/>
        <v>3817.5675675675675</v>
      </c>
      <c r="V20" s="8">
        <f t="shared" si="10"/>
        <v>15000</v>
      </c>
      <c r="W20" s="9">
        <f t="shared" si="11"/>
        <v>101.35135135135135</v>
      </c>
      <c r="X20" s="237">
        <f t="shared" si="12"/>
        <v>2.7272727272727271E-2</v>
      </c>
    </row>
    <row r="21" spans="2:24">
      <c r="B21" s="198">
        <v>2008</v>
      </c>
      <c r="C21" s="201" t="s">
        <v>28</v>
      </c>
      <c r="D21" s="218" t="s">
        <v>15</v>
      </c>
      <c r="E21" s="256"/>
      <c r="G21" s="236">
        <v>287</v>
      </c>
      <c r="H21" s="6">
        <v>1001000</v>
      </c>
      <c r="I21" s="7">
        <f t="shared" si="0"/>
        <v>3487.8048780487807</v>
      </c>
      <c r="J21" s="6">
        <v>1027000</v>
      </c>
      <c r="K21" s="7">
        <f t="shared" si="1"/>
        <v>3578.3972125435539</v>
      </c>
      <c r="L21" s="8">
        <f t="shared" si="2"/>
        <v>26000</v>
      </c>
      <c r="M21" s="9">
        <f t="shared" si="3"/>
        <v>90.592334494773525</v>
      </c>
      <c r="N21" s="10">
        <f t="shared" si="4"/>
        <v>2.5974025974025976E-2</v>
      </c>
      <c r="O21" s="6">
        <v>1054000</v>
      </c>
      <c r="P21" s="7">
        <f t="shared" si="5"/>
        <v>3672.4738675958188</v>
      </c>
      <c r="Q21" s="8">
        <f t="shared" si="6"/>
        <v>53000</v>
      </c>
      <c r="R21" s="9">
        <f t="shared" si="7"/>
        <v>184.66898954703834</v>
      </c>
      <c r="S21" s="10">
        <f t="shared" si="8"/>
        <v>5.2947052947052944E-2</v>
      </c>
      <c r="T21" s="6">
        <v>1068000</v>
      </c>
      <c r="U21" s="7">
        <f t="shared" si="9"/>
        <v>3721.254355400697</v>
      </c>
      <c r="V21" s="8">
        <f t="shared" si="10"/>
        <v>67000</v>
      </c>
      <c r="W21" s="9">
        <f t="shared" si="11"/>
        <v>233.44947735191639</v>
      </c>
      <c r="X21" s="237">
        <f t="shared" si="12"/>
        <v>6.6933066933066929E-2</v>
      </c>
    </row>
    <row r="22" spans="2:24">
      <c r="B22" s="198">
        <v>2009</v>
      </c>
      <c r="C22" s="201" t="s">
        <v>29</v>
      </c>
      <c r="D22" s="218" t="s">
        <v>69</v>
      </c>
      <c r="E22" s="256" t="s">
        <v>72</v>
      </c>
      <c r="G22" s="236">
        <v>179</v>
      </c>
      <c r="H22" s="6">
        <v>823000</v>
      </c>
      <c r="I22" s="7">
        <f t="shared" si="0"/>
        <v>4597.765363128492</v>
      </c>
      <c r="J22" s="6">
        <v>827000</v>
      </c>
      <c r="K22" s="7">
        <f t="shared" si="1"/>
        <v>4620.1117318435754</v>
      </c>
      <c r="L22" s="8">
        <f t="shared" si="2"/>
        <v>4000</v>
      </c>
      <c r="M22" s="9">
        <f t="shared" si="3"/>
        <v>22.346368715083798</v>
      </c>
      <c r="N22" s="10">
        <f t="shared" si="4"/>
        <v>4.8602673147023082E-3</v>
      </c>
      <c r="O22" s="6">
        <v>830000</v>
      </c>
      <c r="P22" s="7">
        <f t="shared" si="5"/>
        <v>4636.8715083798879</v>
      </c>
      <c r="Q22" s="8">
        <f t="shared" si="6"/>
        <v>7000</v>
      </c>
      <c r="R22" s="9">
        <f t="shared" si="7"/>
        <v>39.106145251396647</v>
      </c>
      <c r="S22" s="10">
        <v>0.01</v>
      </c>
      <c r="T22" s="6">
        <v>830000</v>
      </c>
      <c r="U22" s="7">
        <f t="shared" si="9"/>
        <v>4636.8715083798879</v>
      </c>
      <c r="V22" s="8">
        <f t="shared" si="10"/>
        <v>7000</v>
      </c>
      <c r="W22" s="9">
        <f t="shared" si="11"/>
        <v>39.106145251396647</v>
      </c>
      <c r="X22" s="237">
        <f t="shared" si="12"/>
        <v>8.5054678007290396E-3</v>
      </c>
    </row>
    <row r="23" spans="2:24">
      <c r="B23" s="198">
        <v>2241</v>
      </c>
      <c r="C23" s="201" t="s">
        <v>30</v>
      </c>
      <c r="D23" s="218" t="s">
        <v>15</v>
      </c>
      <c r="E23" s="256"/>
      <c r="G23" s="236">
        <v>301</v>
      </c>
      <c r="H23" s="6">
        <v>965000</v>
      </c>
      <c r="I23" s="7">
        <f t="shared" si="0"/>
        <v>3205.9800664451827</v>
      </c>
      <c r="J23" s="6">
        <v>1014000</v>
      </c>
      <c r="K23" s="7">
        <f t="shared" si="1"/>
        <v>3368.7707641196012</v>
      </c>
      <c r="L23" s="8">
        <f t="shared" si="2"/>
        <v>49000</v>
      </c>
      <c r="M23" s="9">
        <f t="shared" si="3"/>
        <v>162.7906976744186</v>
      </c>
      <c r="N23" s="10">
        <f t="shared" si="4"/>
        <v>5.0777202072538857E-2</v>
      </c>
      <c r="O23" s="6">
        <v>1074000</v>
      </c>
      <c r="P23" s="7">
        <f t="shared" si="5"/>
        <v>3568.1063122923588</v>
      </c>
      <c r="Q23" s="8">
        <f t="shared" si="6"/>
        <v>109000</v>
      </c>
      <c r="R23" s="9">
        <f t="shared" si="7"/>
        <v>362.12624584717611</v>
      </c>
      <c r="S23" s="10">
        <f t="shared" si="8"/>
        <v>0.11295336787564766</v>
      </c>
      <c r="T23" s="6">
        <v>1074000</v>
      </c>
      <c r="U23" s="7">
        <f t="shared" si="9"/>
        <v>3568.1063122923588</v>
      </c>
      <c r="V23" s="8">
        <f t="shared" si="10"/>
        <v>109000</v>
      </c>
      <c r="W23" s="9">
        <f t="shared" si="11"/>
        <v>362.12624584717611</v>
      </c>
      <c r="X23" s="237">
        <f t="shared" si="12"/>
        <v>0.11295336787564766</v>
      </c>
    </row>
    <row r="24" spans="2:24">
      <c r="B24" s="198">
        <v>2001</v>
      </c>
      <c r="C24" s="201" t="s">
        <v>31</v>
      </c>
      <c r="D24" s="218" t="s">
        <v>69</v>
      </c>
      <c r="E24" s="256" t="s">
        <v>70</v>
      </c>
      <c r="G24" s="236">
        <v>426</v>
      </c>
      <c r="H24" s="6">
        <v>1276000</v>
      </c>
      <c r="I24" s="7">
        <f t="shared" si="0"/>
        <v>2995.3051643192489</v>
      </c>
      <c r="J24" s="6">
        <v>1406000</v>
      </c>
      <c r="K24" s="7">
        <f t="shared" si="1"/>
        <v>3300.4694835680752</v>
      </c>
      <c r="L24" s="8">
        <f t="shared" si="2"/>
        <v>130000</v>
      </c>
      <c r="M24" s="9">
        <f t="shared" si="3"/>
        <v>305.1643192488263</v>
      </c>
      <c r="N24" s="10">
        <f t="shared" si="4"/>
        <v>0.10188087774294671</v>
      </c>
      <c r="O24" s="6">
        <v>1491000</v>
      </c>
      <c r="P24" s="7">
        <f t="shared" si="5"/>
        <v>3500</v>
      </c>
      <c r="Q24" s="8">
        <f t="shared" si="6"/>
        <v>215000</v>
      </c>
      <c r="R24" s="9">
        <f t="shared" si="7"/>
        <v>504.69483568075117</v>
      </c>
      <c r="S24" s="10">
        <f t="shared" si="8"/>
        <v>0.16849529780564262</v>
      </c>
      <c r="T24" s="6">
        <v>1491000</v>
      </c>
      <c r="U24" s="7">
        <f t="shared" si="9"/>
        <v>3500</v>
      </c>
      <c r="V24" s="8">
        <f t="shared" si="10"/>
        <v>215000</v>
      </c>
      <c r="W24" s="9">
        <f t="shared" si="11"/>
        <v>504.69483568075117</v>
      </c>
      <c r="X24" s="237">
        <f t="shared" si="12"/>
        <v>0.16849529780564262</v>
      </c>
    </row>
    <row r="25" spans="2:24">
      <c r="B25" s="198">
        <v>3302</v>
      </c>
      <c r="C25" s="201" t="s">
        <v>32</v>
      </c>
      <c r="D25" s="218" t="s">
        <v>69</v>
      </c>
      <c r="E25" s="256" t="s">
        <v>70</v>
      </c>
      <c r="G25" s="236">
        <v>144</v>
      </c>
      <c r="H25" s="6">
        <v>539000</v>
      </c>
      <c r="I25" s="7">
        <f t="shared" si="0"/>
        <v>3743.0555555555557</v>
      </c>
      <c r="J25" s="6">
        <v>552000</v>
      </c>
      <c r="K25" s="7">
        <f t="shared" si="1"/>
        <v>3833.3333333333335</v>
      </c>
      <c r="L25" s="8">
        <f t="shared" si="2"/>
        <v>13000</v>
      </c>
      <c r="M25" s="9">
        <f t="shared" si="3"/>
        <v>90.277777777777771</v>
      </c>
      <c r="N25" s="10">
        <f t="shared" si="4"/>
        <v>2.4118738404452691E-2</v>
      </c>
      <c r="O25" s="6">
        <v>565000</v>
      </c>
      <c r="P25" s="7">
        <f t="shared" si="5"/>
        <v>3923.6111111111113</v>
      </c>
      <c r="Q25" s="8">
        <f t="shared" si="6"/>
        <v>26000</v>
      </c>
      <c r="R25" s="9">
        <f t="shared" si="7"/>
        <v>180.55555555555554</v>
      </c>
      <c r="S25" s="10">
        <f t="shared" si="8"/>
        <v>4.8237476808905382E-2</v>
      </c>
      <c r="T25" s="6">
        <v>568000</v>
      </c>
      <c r="U25" s="7">
        <f t="shared" si="9"/>
        <v>3944.4444444444443</v>
      </c>
      <c r="V25" s="8">
        <f t="shared" si="10"/>
        <v>29000</v>
      </c>
      <c r="W25" s="9">
        <f t="shared" si="11"/>
        <v>201.38888888888889</v>
      </c>
      <c r="X25" s="237">
        <f t="shared" si="12"/>
        <v>5.3803339517625233E-2</v>
      </c>
    </row>
    <row r="26" spans="2:24">
      <c r="B26" s="198">
        <v>2028</v>
      </c>
      <c r="C26" s="201" t="s">
        <v>33</v>
      </c>
      <c r="D26" s="218" t="s">
        <v>15</v>
      </c>
      <c r="E26" s="256"/>
      <c r="G26" s="236">
        <v>280</v>
      </c>
      <c r="H26" s="6">
        <v>1288000</v>
      </c>
      <c r="I26" s="7">
        <f t="shared" si="0"/>
        <v>4600</v>
      </c>
      <c r="J26" s="6">
        <v>1324000</v>
      </c>
      <c r="K26" s="7">
        <f t="shared" si="1"/>
        <v>4728.5714285714284</v>
      </c>
      <c r="L26" s="8">
        <f t="shared" si="2"/>
        <v>36000</v>
      </c>
      <c r="M26" s="9">
        <f t="shared" si="3"/>
        <v>128.57142857142858</v>
      </c>
      <c r="N26" s="10">
        <f t="shared" si="4"/>
        <v>2.7950310559006212E-2</v>
      </c>
      <c r="O26" s="6">
        <v>1360000</v>
      </c>
      <c r="P26" s="7">
        <f t="shared" si="5"/>
        <v>4857.1428571428569</v>
      </c>
      <c r="Q26" s="8">
        <f t="shared" si="6"/>
        <v>72000</v>
      </c>
      <c r="R26" s="9">
        <f t="shared" si="7"/>
        <v>257.14285714285717</v>
      </c>
      <c r="S26" s="10">
        <f t="shared" si="8"/>
        <v>5.5900621118012424E-2</v>
      </c>
      <c r="T26" s="6">
        <v>1367000</v>
      </c>
      <c r="U26" s="7">
        <f t="shared" si="9"/>
        <v>4882.1428571428569</v>
      </c>
      <c r="V26" s="8">
        <f t="shared" si="10"/>
        <v>79000</v>
      </c>
      <c r="W26" s="9">
        <f t="shared" si="11"/>
        <v>282.14285714285717</v>
      </c>
      <c r="X26" s="237">
        <f t="shared" si="12"/>
        <v>6.1335403726708072E-2</v>
      </c>
    </row>
    <row r="27" spans="2:24">
      <c r="B27" s="198">
        <v>2180</v>
      </c>
      <c r="C27" s="201" t="s">
        <v>34</v>
      </c>
      <c r="D27" s="218" t="s">
        <v>69</v>
      </c>
      <c r="E27" s="256" t="s">
        <v>74</v>
      </c>
      <c r="G27" s="236">
        <v>418</v>
      </c>
      <c r="H27" s="6">
        <v>1282000</v>
      </c>
      <c r="I27" s="7">
        <f t="shared" si="0"/>
        <v>3066.9856459330144</v>
      </c>
      <c r="J27" s="6">
        <v>1379000</v>
      </c>
      <c r="K27" s="7">
        <f t="shared" si="1"/>
        <v>3299.0430622009571</v>
      </c>
      <c r="L27" s="8">
        <f t="shared" si="2"/>
        <v>97000</v>
      </c>
      <c r="M27" s="9">
        <f t="shared" si="3"/>
        <v>232.05741626794259</v>
      </c>
      <c r="N27" s="10">
        <f t="shared" si="4"/>
        <v>7.5663026521060842E-2</v>
      </c>
      <c r="O27" s="6">
        <v>1463000</v>
      </c>
      <c r="P27" s="7">
        <f t="shared" si="5"/>
        <v>3500</v>
      </c>
      <c r="Q27" s="8">
        <f t="shared" si="6"/>
        <v>181000</v>
      </c>
      <c r="R27" s="9">
        <f t="shared" si="7"/>
        <v>433.01435406698562</v>
      </c>
      <c r="S27" s="10">
        <f t="shared" si="8"/>
        <v>0.14118564742589704</v>
      </c>
      <c r="T27" s="6">
        <v>1463000</v>
      </c>
      <c r="U27" s="7">
        <f t="shared" si="9"/>
        <v>3500</v>
      </c>
      <c r="V27" s="8">
        <f t="shared" si="10"/>
        <v>181000</v>
      </c>
      <c r="W27" s="9">
        <f t="shared" si="11"/>
        <v>433.01435406698562</v>
      </c>
      <c r="X27" s="237">
        <f t="shared" si="12"/>
        <v>0.14118564742589704</v>
      </c>
    </row>
    <row r="28" spans="2:24">
      <c r="B28" s="198">
        <v>2011</v>
      </c>
      <c r="C28" s="201" t="s">
        <v>36</v>
      </c>
      <c r="D28" s="218" t="s">
        <v>69</v>
      </c>
      <c r="E28" s="256" t="s">
        <v>73</v>
      </c>
      <c r="G28" s="236">
        <v>415</v>
      </c>
      <c r="H28" s="6">
        <v>1285000</v>
      </c>
      <c r="I28" s="7">
        <f t="shared" si="0"/>
        <v>3096.3855421686749</v>
      </c>
      <c r="J28" s="6">
        <v>1370000</v>
      </c>
      <c r="K28" s="7">
        <f t="shared" si="1"/>
        <v>3301.2048192771085</v>
      </c>
      <c r="L28" s="8">
        <f t="shared" si="2"/>
        <v>85000</v>
      </c>
      <c r="M28" s="9">
        <f t="shared" si="3"/>
        <v>204.81927710843374</v>
      </c>
      <c r="N28" s="10">
        <f t="shared" si="4"/>
        <v>6.6147859922178989E-2</v>
      </c>
      <c r="O28" s="6">
        <v>1453000</v>
      </c>
      <c r="P28" s="7">
        <f t="shared" si="5"/>
        <v>3501.2048192771085</v>
      </c>
      <c r="Q28" s="8">
        <f t="shared" si="6"/>
        <v>168000</v>
      </c>
      <c r="R28" s="9">
        <f t="shared" si="7"/>
        <v>404.81927710843371</v>
      </c>
      <c r="S28" s="10">
        <f t="shared" si="8"/>
        <v>0.13073929961089495</v>
      </c>
      <c r="T28" s="6">
        <v>1453000</v>
      </c>
      <c r="U28" s="7">
        <f t="shared" si="9"/>
        <v>3501.2048192771085</v>
      </c>
      <c r="V28" s="8">
        <f t="shared" si="10"/>
        <v>168000</v>
      </c>
      <c r="W28" s="9">
        <f t="shared" si="11"/>
        <v>404.81927710843371</v>
      </c>
      <c r="X28" s="237">
        <f t="shared" si="12"/>
        <v>0.13073929961089495</v>
      </c>
    </row>
    <row r="29" spans="2:24">
      <c r="B29" s="198">
        <v>2428</v>
      </c>
      <c r="C29" s="201" t="s">
        <v>37</v>
      </c>
      <c r="D29" s="218" t="s">
        <v>15</v>
      </c>
      <c r="E29" s="256"/>
      <c r="G29" s="236">
        <v>283</v>
      </c>
      <c r="H29" s="6">
        <v>963000</v>
      </c>
      <c r="I29" s="7">
        <f t="shared" si="0"/>
        <v>3402.8268551236747</v>
      </c>
      <c r="J29" s="6">
        <v>988000</v>
      </c>
      <c r="K29" s="7">
        <f t="shared" si="1"/>
        <v>3491.1660777385159</v>
      </c>
      <c r="L29" s="8">
        <f t="shared" si="2"/>
        <v>25000</v>
      </c>
      <c r="M29" s="9">
        <f t="shared" si="3"/>
        <v>88.339222614840992</v>
      </c>
      <c r="N29" s="10">
        <f t="shared" si="4"/>
        <v>2.5960539979231569E-2</v>
      </c>
      <c r="O29" s="6">
        <v>1019000</v>
      </c>
      <c r="P29" s="7">
        <f t="shared" si="5"/>
        <v>3600.7067137809186</v>
      </c>
      <c r="Q29" s="8">
        <f t="shared" si="6"/>
        <v>56000</v>
      </c>
      <c r="R29" s="9">
        <f t="shared" si="7"/>
        <v>197.87985865724383</v>
      </c>
      <c r="S29" s="10">
        <f t="shared" si="8"/>
        <v>5.8151609553478714E-2</v>
      </c>
      <c r="T29" s="6">
        <v>1042000</v>
      </c>
      <c r="U29" s="7">
        <f t="shared" si="9"/>
        <v>3681.9787985865723</v>
      </c>
      <c r="V29" s="8">
        <f t="shared" si="10"/>
        <v>79000</v>
      </c>
      <c r="W29" s="9">
        <f t="shared" si="11"/>
        <v>279.15194346289752</v>
      </c>
      <c r="X29" s="237">
        <f t="shared" si="12"/>
        <v>8.2035306334371755E-2</v>
      </c>
    </row>
    <row r="30" spans="2:24">
      <c r="B30" s="198">
        <v>3158</v>
      </c>
      <c r="C30" s="201" t="s">
        <v>38</v>
      </c>
      <c r="D30" s="218" t="s">
        <v>15</v>
      </c>
      <c r="E30" s="256"/>
      <c r="G30" s="236">
        <v>196</v>
      </c>
      <c r="H30" s="6">
        <v>690000</v>
      </c>
      <c r="I30" s="7">
        <f t="shared" si="0"/>
        <v>3520.408163265306</v>
      </c>
      <c r="J30" s="6">
        <v>707000</v>
      </c>
      <c r="K30" s="7">
        <f t="shared" si="1"/>
        <v>3607.1428571428573</v>
      </c>
      <c r="L30" s="8">
        <f t="shared" si="2"/>
        <v>17000</v>
      </c>
      <c r="M30" s="9">
        <f t="shared" si="3"/>
        <v>86.734693877551024</v>
      </c>
      <c r="N30" s="10">
        <f t="shared" si="4"/>
        <v>2.4637681159420291E-2</v>
      </c>
      <c r="O30" s="6">
        <v>724000</v>
      </c>
      <c r="P30" s="7">
        <f t="shared" si="5"/>
        <v>3693.8775510204082</v>
      </c>
      <c r="Q30" s="8">
        <f t="shared" si="6"/>
        <v>34000</v>
      </c>
      <c r="R30" s="9">
        <f t="shared" si="7"/>
        <v>173.46938775510205</v>
      </c>
      <c r="S30" s="10">
        <f t="shared" si="8"/>
        <v>4.9275362318840582E-2</v>
      </c>
      <c r="T30" s="6">
        <v>738000</v>
      </c>
      <c r="U30" s="7">
        <f t="shared" si="9"/>
        <v>3765.3061224489797</v>
      </c>
      <c r="V30" s="8">
        <f t="shared" si="10"/>
        <v>48000</v>
      </c>
      <c r="W30" s="9">
        <f t="shared" si="11"/>
        <v>244.89795918367346</v>
      </c>
      <c r="X30" s="237">
        <f t="shared" si="12"/>
        <v>6.9565217391304349E-2</v>
      </c>
    </row>
    <row r="31" spans="2:24">
      <c r="B31" s="198">
        <v>3159</v>
      </c>
      <c r="C31" s="201" t="s">
        <v>41</v>
      </c>
      <c r="D31" s="218" t="s">
        <v>15</v>
      </c>
      <c r="E31" s="256"/>
      <c r="G31" s="236">
        <v>81</v>
      </c>
      <c r="H31" s="6">
        <v>361000</v>
      </c>
      <c r="I31" s="7">
        <f t="shared" si="0"/>
        <v>4456.7901234567898</v>
      </c>
      <c r="J31" s="6">
        <v>362000</v>
      </c>
      <c r="K31" s="7">
        <f t="shared" si="1"/>
        <v>4469.1358024691363</v>
      </c>
      <c r="L31" s="8">
        <f t="shared" si="2"/>
        <v>1000</v>
      </c>
      <c r="M31" s="9">
        <f t="shared" si="3"/>
        <v>12.345679012345679</v>
      </c>
      <c r="N31" s="10">
        <v>5.0000000000000001E-3</v>
      </c>
      <c r="O31" s="6">
        <v>363000</v>
      </c>
      <c r="P31" s="7">
        <f t="shared" si="5"/>
        <v>4481.4814814814818</v>
      </c>
      <c r="Q31" s="8">
        <f t="shared" si="6"/>
        <v>2000</v>
      </c>
      <c r="R31" s="9">
        <f t="shared" si="7"/>
        <v>24.691358024691358</v>
      </c>
      <c r="S31" s="10">
        <v>0.01</v>
      </c>
      <c r="T31" s="6">
        <v>363000</v>
      </c>
      <c r="U31" s="7">
        <f t="shared" si="9"/>
        <v>4481.4814814814818</v>
      </c>
      <c r="V31" s="8">
        <f t="shared" si="10"/>
        <v>2000</v>
      </c>
      <c r="W31" s="9">
        <f t="shared" si="11"/>
        <v>24.691358024691358</v>
      </c>
      <c r="X31" s="237">
        <v>0.01</v>
      </c>
    </row>
    <row r="32" spans="2:24">
      <c r="B32" s="198">
        <v>3901</v>
      </c>
      <c r="C32" s="201" t="s">
        <v>65</v>
      </c>
      <c r="D32" s="218" t="s">
        <v>15</v>
      </c>
      <c r="E32" s="256" t="s">
        <v>70</v>
      </c>
      <c r="G32" s="236">
        <v>181</v>
      </c>
      <c r="H32" s="6">
        <v>698000</v>
      </c>
      <c r="I32" s="7">
        <f t="shared" si="0"/>
        <v>3856.3535911602212</v>
      </c>
      <c r="J32" s="6">
        <v>715000</v>
      </c>
      <c r="K32" s="7">
        <f t="shared" si="1"/>
        <v>3950.2762430939229</v>
      </c>
      <c r="L32" s="8">
        <f t="shared" si="2"/>
        <v>17000</v>
      </c>
      <c r="M32" s="9">
        <f t="shared" si="3"/>
        <v>93.922651933701658</v>
      </c>
      <c r="N32" s="10">
        <f t="shared" si="4"/>
        <v>2.4355300859598854E-2</v>
      </c>
      <c r="O32" s="6">
        <v>726000</v>
      </c>
      <c r="P32" s="7">
        <f t="shared" si="5"/>
        <v>4011.0497237569061</v>
      </c>
      <c r="Q32" s="8">
        <f t="shared" si="6"/>
        <v>28000</v>
      </c>
      <c r="R32" s="9">
        <f t="shared" si="7"/>
        <v>154.69613259668509</v>
      </c>
      <c r="S32" s="10">
        <f t="shared" si="8"/>
        <v>4.0114613180515762E-2</v>
      </c>
      <c r="T32" s="6">
        <v>726000</v>
      </c>
      <c r="U32" s="7">
        <f t="shared" si="9"/>
        <v>4011.0497237569061</v>
      </c>
      <c r="V32" s="8">
        <f t="shared" si="10"/>
        <v>28000</v>
      </c>
      <c r="W32" s="9">
        <f t="shared" si="11"/>
        <v>154.69613259668509</v>
      </c>
      <c r="X32" s="237">
        <f t="shared" si="12"/>
        <v>4.0114613180515762E-2</v>
      </c>
    </row>
    <row r="33" spans="2:24">
      <c r="B33" s="198">
        <v>2176</v>
      </c>
      <c r="C33" s="201" t="s">
        <v>42</v>
      </c>
      <c r="D33" s="218" t="s">
        <v>15</v>
      </c>
      <c r="E33" s="256"/>
      <c r="G33" s="236">
        <v>302</v>
      </c>
      <c r="H33" s="6">
        <v>1165000</v>
      </c>
      <c r="I33" s="7">
        <f t="shared" si="0"/>
        <v>3857.6158940397349</v>
      </c>
      <c r="J33" s="6">
        <v>1194000</v>
      </c>
      <c r="K33" s="7">
        <f t="shared" si="1"/>
        <v>3953.6423841059604</v>
      </c>
      <c r="L33" s="8">
        <f t="shared" si="2"/>
        <v>29000</v>
      </c>
      <c r="M33" s="9">
        <f t="shared" si="3"/>
        <v>96.026490066225165</v>
      </c>
      <c r="N33" s="10">
        <f t="shared" si="4"/>
        <v>2.4892703862660945E-2</v>
      </c>
      <c r="O33" s="6">
        <v>1224000</v>
      </c>
      <c r="P33" s="7">
        <f t="shared" si="5"/>
        <v>4052.980132450331</v>
      </c>
      <c r="Q33" s="8">
        <f t="shared" si="6"/>
        <v>59000</v>
      </c>
      <c r="R33" s="9">
        <f t="shared" si="7"/>
        <v>195.36423841059602</v>
      </c>
      <c r="S33" s="10">
        <f t="shared" si="8"/>
        <v>5.0643776824034335E-2</v>
      </c>
      <c r="T33" s="6">
        <v>1268000</v>
      </c>
      <c r="U33" s="7">
        <f t="shared" si="9"/>
        <v>4198.675496688742</v>
      </c>
      <c r="V33" s="8">
        <f t="shared" si="10"/>
        <v>103000</v>
      </c>
      <c r="W33" s="9">
        <f t="shared" si="11"/>
        <v>341.05960264900665</v>
      </c>
      <c r="X33" s="237">
        <f t="shared" si="12"/>
        <v>8.8412017167381979E-2</v>
      </c>
    </row>
    <row r="34" spans="2:24">
      <c r="B34" s="198">
        <v>3904</v>
      </c>
      <c r="C34" s="201" t="s">
        <v>66</v>
      </c>
      <c r="D34" s="218" t="s">
        <v>15</v>
      </c>
      <c r="E34" s="256"/>
      <c r="G34" s="236">
        <v>390</v>
      </c>
      <c r="H34" s="6">
        <v>1285000</v>
      </c>
      <c r="I34" s="7">
        <f t="shared" si="0"/>
        <v>3294.8717948717949</v>
      </c>
      <c r="J34" s="6">
        <v>1320000</v>
      </c>
      <c r="K34" s="7">
        <f t="shared" si="1"/>
        <v>3384.6153846153848</v>
      </c>
      <c r="L34" s="8">
        <f t="shared" si="2"/>
        <v>35000</v>
      </c>
      <c r="M34" s="9">
        <f t="shared" si="3"/>
        <v>89.743589743589737</v>
      </c>
      <c r="N34" s="10">
        <f t="shared" si="4"/>
        <v>2.7237354085603113E-2</v>
      </c>
      <c r="O34" s="6">
        <v>1376000</v>
      </c>
      <c r="P34" s="7">
        <f t="shared" si="5"/>
        <v>3528.2051282051284</v>
      </c>
      <c r="Q34" s="8">
        <f t="shared" si="6"/>
        <v>91000</v>
      </c>
      <c r="R34" s="9">
        <f t="shared" si="7"/>
        <v>233.33333333333334</v>
      </c>
      <c r="S34" s="10">
        <f t="shared" si="8"/>
        <v>7.0817120622568092E-2</v>
      </c>
      <c r="T34" s="6">
        <v>1376000</v>
      </c>
      <c r="U34" s="7">
        <f t="shared" si="9"/>
        <v>3528.2051282051284</v>
      </c>
      <c r="V34" s="8">
        <f t="shared" si="10"/>
        <v>91000</v>
      </c>
      <c r="W34" s="9">
        <f t="shared" si="11"/>
        <v>233.33333333333334</v>
      </c>
      <c r="X34" s="237">
        <f t="shared" si="12"/>
        <v>7.0817120622568092E-2</v>
      </c>
    </row>
    <row r="35" spans="2:24">
      <c r="B35" s="198">
        <v>2012</v>
      </c>
      <c r="C35" s="201" t="s">
        <v>43</v>
      </c>
      <c r="D35" s="218" t="s">
        <v>69</v>
      </c>
      <c r="E35" s="256" t="s">
        <v>72</v>
      </c>
      <c r="G35" s="236">
        <v>268</v>
      </c>
      <c r="H35" s="6">
        <v>958000</v>
      </c>
      <c r="I35" s="7">
        <f t="shared" si="0"/>
        <v>3574.626865671642</v>
      </c>
      <c r="J35" s="6">
        <v>982000</v>
      </c>
      <c r="K35" s="7">
        <f t="shared" si="1"/>
        <v>3664.1791044776119</v>
      </c>
      <c r="L35" s="8">
        <f t="shared" si="2"/>
        <v>24000</v>
      </c>
      <c r="M35" s="9">
        <f t="shared" si="3"/>
        <v>89.552238805970148</v>
      </c>
      <c r="N35" s="10">
        <f t="shared" si="4"/>
        <v>2.5052192066805846E-2</v>
      </c>
      <c r="O35" s="6">
        <v>1008000</v>
      </c>
      <c r="P35" s="7">
        <f t="shared" si="5"/>
        <v>3761.1940298507461</v>
      </c>
      <c r="Q35" s="8">
        <f t="shared" si="6"/>
        <v>50000</v>
      </c>
      <c r="R35" s="9">
        <f t="shared" si="7"/>
        <v>186.56716417910448</v>
      </c>
      <c r="S35" s="10">
        <f t="shared" si="8"/>
        <v>5.2192066805845511E-2</v>
      </c>
      <c r="T35" s="6">
        <v>1019000</v>
      </c>
      <c r="U35" s="7">
        <f t="shared" si="9"/>
        <v>3802.2388059701493</v>
      </c>
      <c r="V35" s="8">
        <f t="shared" si="10"/>
        <v>61000</v>
      </c>
      <c r="W35" s="9">
        <f t="shared" si="11"/>
        <v>227.61194029850745</v>
      </c>
      <c r="X35" s="237">
        <f t="shared" si="12"/>
        <v>6.3674321503131528E-2</v>
      </c>
    </row>
    <row r="36" spans="2:24">
      <c r="B36" s="198">
        <v>2029</v>
      </c>
      <c r="C36" s="201" t="s">
        <v>44</v>
      </c>
      <c r="D36" s="218" t="s">
        <v>69</v>
      </c>
      <c r="E36" s="256" t="s">
        <v>71</v>
      </c>
      <c r="G36" s="236">
        <v>436</v>
      </c>
      <c r="H36" s="6">
        <v>1269000</v>
      </c>
      <c r="I36" s="7">
        <f t="shared" si="0"/>
        <v>2910.5504587155965</v>
      </c>
      <c r="J36" s="6">
        <v>1439000</v>
      </c>
      <c r="K36" s="7">
        <f t="shared" si="1"/>
        <v>3300.4587155963304</v>
      </c>
      <c r="L36" s="8">
        <f t="shared" si="2"/>
        <v>170000</v>
      </c>
      <c r="M36" s="9">
        <f t="shared" si="3"/>
        <v>389.90825688073397</v>
      </c>
      <c r="N36" s="10">
        <f t="shared" si="4"/>
        <v>0.13396375098502758</v>
      </c>
      <c r="O36" s="6">
        <v>1526000</v>
      </c>
      <c r="P36" s="7">
        <f t="shared" si="5"/>
        <v>3500</v>
      </c>
      <c r="Q36" s="8">
        <f t="shared" si="6"/>
        <v>257000</v>
      </c>
      <c r="R36" s="9">
        <f t="shared" si="7"/>
        <v>589.44954128440372</v>
      </c>
      <c r="S36" s="10">
        <f t="shared" si="8"/>
        <v>0.20252167060677698</v>
      </c>
      <c r="T36" s="6">
        <v>1526000</v>
      </c>
      <c r="U36" s="7">
        <f t="shared" si="9"/>
        <v>3500</v>
      </c>
      <c r="V36" s="8">
        <f t="shared" si="10"/>
        <v>257000</v>
      </c>
      <c r="W36" s="9">
        <f t="shared" si="11"/>
        <v>589.44954128440372</v>
      </c>
      <c r="X36" s="237">
        <f t="shared" si="12"/>
        <v>0.20252167060677698</v>
      </c>
    </row>
    <row r="37" spans="2:24">
      <c r="B37" s="198">
        <v>2014</v>
      </c>
      <c r="C37" s="201" t="s">
        <v>45</v>
      </c>
      <c r="D37" s="218" t="s">
        <v>15</v>
      </c>
      <c r="E37" s="256"/>
      <c r="G37" s="236">
        <v>390</v>
      </c>
      <c r="H37" s="6">
        <v>1321000</v>
      </c>
      <c r="I37" s="7">
        <f t="shared" si="0"/>
        <v>3387.1794871794873</v>
      </c>
      <c r="J37" s="6">
        <v>1357000</v>
      </c>
      <c r="K37" s="7">
        <f t="shared" si="1"/>
        <v>3479.4871794871797</v>
      </c>
      <c r="L37" s="8">
        <f t="shared" si="2"/>
        <v>36000</v>
      </c>
      <c r="M37" s="9">
        <f t="shared" si="3"/>
        <v>92.307692307692307</v>
      </c>
      <c r="N37" s="10">
        <f t="shared" si="4"/>
        <v>2.7252081756245269E-2</v>
      </c>
      <c r="O37" s="6">
        <v>1393000</v>
      </c>
      <c r="P37" s="7">
        <f t="shared" si="5"/>
        <v>3571.7948717948716</v>
      </c>
      <c r="Q37" s="8">
        <f t="shared" si="6"/>
        <v>72000</v>
      </c>
      <c r="R37" s="9">
        <f t="shared" si="7"/>
        <v>184.61538461538461</v>
      </c>
      <c r="S37" s="10">
        <f t="shared" si="8"/>
        <v>5.4504163512490537E-2</v>
      </c>
      <c r="T37" s="6">
        <v>1449000</v>
      </c>
      <c r="U37" s="7">
        <f t="shared" si="9"/>
        <v>3715.3846153846152</v>
      </c>
      <c r="V37" s="8">
        <f t="shared" si="10"/>
        <v>128000</v>
      </c>
      <c r="W37" s="9">
        <f t="shared" si="11"/>
        <v>328.20512820512823</v>
      </c>
      <c r="X37" s="237">
        <f t="shared" si="12"/>
        <v>9.6896290688872067E-2</v>
      </c>
    </row>
    <row r="38" spans="2:24">
      <c r="B38" s="198">
        <v>2058</v>
      </c>
      <c r="C38" s="201" t="s">
        <v>46</v>
      </c>
      <c r="D38" s="218" t="s">
        <v>15</v>
      </c>
      <c r="E38" s="256"/>
      <c r="G38" s="236">
        <v>323</v>
      </c>
      <c r="H38" s="6">
        <v>1009000</v>
      </c>
      <c r="I38" s="7">
        <f t="shared" si="0"/>
        <v>3123.8390092879258</v>
      </c>
      <c r="J38" s="6">
        <v>1085000</v>
      </c>
      <c r="K38" s="7">
        <f t="shared" si="1"/>
        <v>3359.1331269349844</v>
      </c>
      <c r="L38" s="8">
        <f t="shared" si="2"/>
        <v>76000</v>
      </c>
      <c r="M38" s="9">
        <f t="shared" si="3"/>
        <v>235.29411764705881</v>
      </c>
      <c r="N38" s="10">
        <f t="shared" si="4"/>
        <v>7.5322101090188304E-2</v>
      </c>
      <c r="O38" s="6">
        <v>1149000</v>
      </c>
      <c r="P38" s="7">
        <f t="shared" si="5"/>
        <v>3557.2755417956655</v>
      </c>
      <c r="Q38" s="8">
        <f t="shared" si="6"/>
        <v>140000</v>
      </c>
      <c r="R38" s="9">
        <f t="shared" si="7"/>
        <v>433.43653250773991</v>
      </c>
      <c r="S38" s="10">
        <f t="shared" si="8"/>
        <v>0.13875123885034688</v>
      </c>
      <c r="T38" s="6">
        <v>1149000</v>
      </c>
      <c r="U38" s="7">
        <f t="shared" si="9"/>
        <v>3557.2755417956655</v>
      </c>
      <c r="V38" s="8">
        <f t="shared" si="10"/>
        <v>140000</v>
      </c>
      <c r="W38" s="9">
        <f t="shared" si="11"/>
        <v>433.43653250773991</v>
      </c>
      <c r="X38" s="237">
        <f t="shared" si="12"/>
        <v>0.13875123885034688</v>
      </c>
    </row>
    <row r="39" spans="2:24">
      <c r="B39" s="198">
        <v>3212</v>
      </c>
      <c r="C39" s="201" t="s">
        <v>47</v>
      </c>
      <c r="D39" s="218" t="s">
        <v>69</v>
      </c>
      <c r="E39" s="256" t="s">
        <v>72</v>
      </c>
      <c r="G39" s="236">
        <v>598</v>
      </c>
      <c r="H39" s="6">
        <v>1769000</v>
      </c>
      <c r="I39" s="7">
        <f t="shared" si="0"/>
        <v>2958.1939799331103</v>
      </c>
      <c r="J39" s="6">
        <v>1973000</v>
      </c>
      <c r="K39" s="7">
        <f t="shared" si="1"/>
        <v>3299.3311036789296</v>
      </c>
      <c r="L39" s="8">
        <f t="shared" si="2"/>
        <v>204000</v>
      </c>
      <c r="M39" s="9">
        <f t="shared" si="3"/>
        <v>341.13712374581939</v>
      </c>
      <c r="N39" s="10">
        <f t="shared" si="4"/>
        <v>0.11531938948558508</v>
      </c>
      <c r="O39" s="6">
        <v>2093000</v>
      </c>
      <c r="P39" s="7">
        <f t="shared" si="5"/>
        <v>3500</v>
      </c>
      <c r="Q39" s="8">
        <f t="shared" si="6"/>
        <v>324000</v>
      </c>
      <c r="R39" s="9">
        <f t="shared" si="7"/>
        <v>541.80602006688969</v>
      </c>
      <c r="S39" s="10">
        <f t="shared" si="8"/>
        <v>0.18315432447710572</v>
      </c>
      <c r="T39" s="6">
        <v>2093000</v>
      </c>
      <c r="U39" s="7">
        <f t="shared" si="9"/>
        <v>3500</v>
      </c>
      <c r="V39" s="8">
        <f t="shared" si="10"/>
        <v>324000</v>
      </c>
      <c r="W39" s="9">
        <f t="shared" si="11"/>
        <v>541.80602006688969</v>
      </c>
      <c r="X39" s="237">
        <f t="shared" si="12"/>
        <v>0.18315432447710572</v>
      </c>
    </row>
    <row r="40" spans="2:24">
      <c r="B40" s="198">
        <v>2349</v>
      </c>
      <c r="C40" s="201" t="s">
        <v>48</v>
      </c>
      <c r="D40" s="218" t="s">
        <v>15</v>
      </c>
      <c r="E40" s="256"/>
      <c r="G40" s="236">
        <v>93</v>
      </c>
      <c r="H40" s="6">
        <v>427000</v>
      </c>
      <c r="I40" s="7">
        <f t="shared" ref="I40:I59" si="13">H40/$G40</f>
        <v>4591.3978494623652</v>
      </c>
      <c r="J40" s="6">
        <v>429000</v>
      </c>
      <c r="K40" s="7">
        <f t="shared" ref="K40:K59" si="14">J40/$G40</f>
        <v>4612.9032258064517</v>
      </c>
      <c r="L40" s="8">
        <f t="shared" ref="L40:L57" si="15">J40-H40</f>
        <v>2000</v>
      </c>
      <c r="M40" s="9">
        <f t="shared" ref="M40:M59" si="16">L40/$G40</f>
        <v>21.50537634408602</v>
      </c>
      <c r="N40" s="10">
        <f t="shared" ref="N40:N59" si="17">L40/H40</f>
        <v>4.6838407494145199E-3</v>
      </c>
      <c r="O40" s="6">
        <v>430000</v>
      </c>
      <c r="P40" s="7">
        <f t="shared" ref="P40:P59" si="18">O40/$G40</f>
        <v>4623.6559139784949</v>
      </c>
      <c r="Q40" s="8">
        <f t="shared" ref="Q40:Q57" si="19">O40-H40</f>
        <v>3000</v>
      </c>
      <c r="R40" s="9">
        <f t="shared" ref="R40:R59" si="20">Q40/$G40</f>
        <v>32.258064516129032</v>
      </c>
      <c r="S40" s="10">
        <v>0.01</v>
      </c>
      <c r="T40" s="6">
        <v>430000</v>
      </c>
      <c r="U40" s="7">
        <f t="shared" ref="U40:U59" si="21">T40/$G40</f>
        <v>4623.6559139784949</v>
      </c>
      <c r="V40" s="8">
        <f t="shared" ref="V40:V57" si="22">T40-H40</f>
        <v>3000</v>
      </c>
      <c r="W40" s="9">
        <f t="shared" ref="W40:W59" si="23">V40/$G40</f>
        <v>32.258064516129032</v>
      </c>
      <c r="X40" s="237">
        <f t="shared" ref="X40:X59" si="24">V40/H40</f>
        <v>7.0257611241217799E-3</v>
      </c>
    </row>
    <row r="41" spans="2:24">
      <c r="B41" s="198">
        <v>2016</v>
      </c>
      <c r="C41" s="201" t="s">
        <v>50</v>
      </c>
      <c r="D41" s="218" t="s">
        <v>69</v>
      </c>
      <c r="E41" s="256" t="s">
        <v>73</v>
      </c>
      <c r="G41" s="236">
        <v>341</v>
      </c>
      <c r="H41" s="6">
        <v>1122000</v>
      </c>
      <c r="I41" s="7">
        <f t="shared" si="13"/>
        <v>3290.3225806451615</v>
      </c>
      <c r="J41" s="6">
        <v>1152000</v>
      </c>
      <c r="K41" s="7">
        <f t="shared" si="14"/>
        <v>3378.2991202346043</v>
      </c>
      <c r="L41" s="8">
        <f t="shared" si="15"/>
        <v>30000</v>
      </c>
      <c r="M41" s="9">
        <f t="shared" si="16"/>
        <v>87.976539589442808</v>
      </c>
      <c r="N41" s="10">
        <f t="shared" si="17"/>
        <v>2.6737967914438502E-2</v>
      </c>
      <c r="O41" s="6">
        <v>1194000</v>
      </c>
      <c r="P41" s="7">
        <f t="shared" si="18"/>
        <v>3501.4662756598241</v>
      </c>
      <c r="Q41" s="8">
        <f t="shared" si="19"/>
        <v>72000</v>
      </c>
      <c r="R41" s="9">
        <f t="shared" si="20"/>
        <v>211.14369501466277</v>
      </c>
      <c r="S41" s="10">
        <f t="shared" ref="S41:S59" si="25">Q41/H41</f>
        <v>6.4171122994652413E-2</v>
      </c>
      <c r="T41" s="6">
        <v>1214000</v>
      </c>
      <c r="U41" s="7">
        <f t="shared" si="21"/>
        <v>3560.1173020527858</v>
      </c>
      <c r="V41" s="8">
        <f t="shared" si="22"/>
        <v>92000</v>
      </c>
      <c r="W41" s="9">
        <f t="shared" si="23"/>
        <v>269.79472140762465</v>
      </c>
      <c r="X41" s="237">
        <f t="shared" si="24"/>
        <v>8.1996434937611412E-2</v>
      </c>
    </row>
    <row r="42" spans="2:24">
      <c r="B42" s="198">
        <v>2169</v>
      </c>
      <c r="C42" s="201" t="s">
        <v>51</v>
      </c>
      <c r="D42" s="218" t="s">
        <v>15</v>
      </c>
      <c r="E42" s="256"/>
      <c r="G42" s="236">
        <v>80</v>
      </c>
      <c r="H42" s="6">
        <v>400000</v>
      </c>
      <c r="I42" s="7">
        <f t="shared" si="13"/>
        <v>5000</v>
      </c>
      <c r="J42" s="6">
        <v>402000</v>
      </c>
      <c r="K42" s="7">
        <f t="shared" si="14"/>
        <v>5025</v>
      </c>
      <c r="L42" s="8">
        <f t="shared" si="15"/>
        <v>2000</v>
      </c>
      <c r="M42" s="9">
        <f t="shared" si="16"/>
        <v>25</v>
      </c>
      <c r="N42" s="10">
        <f t="shared" si="17"/>
        <v>5.0000000000000001E-3</v>
      </c>
      <c r="O42" s="6">
        <v>403000</v>
      </c>
      <c r="P42" s="7">
        <f t="shared" si="18"/>
        <v>5037.5</v>
      </c>
      <c r="Q42" s="8">
        <f t="shared" si="19"/>
        <v>3000</v>
      </c>
      <c r="R42" s="9">
        <f t="shared" si="20"/>
        <v>37.5</v>
      </c>
      <c r="S42" s="10">
        <v>0.01</v>
      </c>
      <c r="T42" s="6">
        <v>403000</v>
      </c>
      <c r="U42" s="7">
        <f t="shared" si="21"/>
        <v>5037.5</v>
      </c>
      <c r="V42" s="8">
        <f t="shared" si="22"/>
        <v>3000</v>
      </c>
      <c r="W42" s="9">
        <f t="shared" si="23"/>
        <v>37.5</v>
      </c>
      <c r="X42" s="237">
        <f t="shared" si="24"/>
        <v>7.4999999999999997E-3</v>
      </c>
    </row>
    <row r="43" spans="2:24">
      <c r="B43" s="198">
        <v>3401</v>
      </c>
      <c r="C43" s="201" t="s">
        <v>52</v>
      </c>
      <c r="D43" s="218" t="s">
        <v>15</v>
      </c>
      <c r="E43" s="256"/>
      <c r="G43" s="236">
        <v>197</v>
      </c>
      <c r="H43" s="6">
        <v>730000</v>
      </c>
      <c r="I43" s="7">
        <f t="shared" si="13"/>
        <v>3705.5837563451778</v>
      </c>
      <c r="J43" s="6">
        <v>748000</v>
      </c>
      <c r="K43" s="7">
        <f t="shared" si="14"/>
        <v>3796.9543147208124</v>
      </c>
      <c r="L43" s="8">
        <f t="shared" si="15"/>
        <v>18000</v>
      </c>
      <c r="M43" s="9">
        <f t="shared" si="16"/>
        <v>91.370558375634516</v>
      </c>
      <c r="N43" s="10">
        <f t="shared" si="17"/>
        <v>2.4657534246575342E-2</v>
      </c>
      <c r="O43" s="6">
        <v>767000</v>
      </c>
      <c r="P43" s="7">
        <f t="shared" si="18"/>
        <v>3893.4010152284263</v>
      </c>
      <c r="Q43" s="8">
        <f t="shared" si="19"/>
        <v>37000</v>
      </c>
      <c r="R43" s="9">
        <f t="shared" si="20"/>
        <v>187.81725888324874</v>
      </c>
      <c r="S43" s="10">
        <f t="shared" si="25"/>
        <v>5.0684931506849315E-2</v>
      </c>
      <c r="T43" s="6">
        <v>811000</v>
      </c>
      <c r="U43" s="7">
        <f t="shared" si="21"/>
        <v>4116.7512690355334</v>
      </c>
      <c r="V43" s="8">
        <f t="shared" si="22"/>
        <v>81000</v>
      </c>
      <c r="W43" s="9">
        <f t="shared" si="23"/>
        <v>411.16751269035535</v>
      </c>
      <c r="X43" s="237">
        <f t="shared" si="24"/>
        <v>0.11095890410958904</v>
      </c>
    </row>
    <row r="44" spans="2:24">
      <c r="B44" s="198">
        <v>3002</v>
      </c>
      <c r="C44" s="201" t="s">
        <v>49</v>
      </c>
      <c r="D44" s="218" t="s">
        <v>15</v>
      </c>
      <c r="E44" s="256"/>
      <c r="G44" s="236">
        <v>152</v>
      </c>
      <c r="H44" s="6">
        <v>787000</v>
      </c>
      <c r="I44" s="7">
        <f t="shared" si="13"/>
        <v>5177.6315789473683</v>
      </c>
      <c r="J44" s="6">
        <v>808000</v>
      </c>
      <c r="K44" s="7">
        <f t="shared" si="14"/>
        <v>5315.7894736842109</v>
      </c>
      <c r="L44" s="8">
        <f t="shared" si="15"/>
        <v>21000</v>
      </c>
      <c r="M44" s="9">
        <f t="shared" si="16"/>
        <v>138.15789473684211</v>
      </c>
      <c r="N44" s="10">
        <f t="shared" si="17"/>
        <v>2.6683608640406607E-2</v>
      </c>
      <c r="O44" s="6">
        <v>830000</v>
      </c>
      <c r="P44" s="7">
        <f t="shared" si="18"/>
        <v>5460.5263157894733</v>
      </c>
      <c r="Q44" s="8">
        <f t="shared" si="19"/>
        <v>43000</v>
      </c>
      <c r="R44" s="9">
        <f t="shared" si="20"/>
        <v>282.89473684210526</v>
      </c>
      <c r="S44" s="10">
        <f t="shared" si="25"/>
        <v>5.4637865311308764E-2</v>
      </c>
      <c r="T44" s="6">
        <v>869000</v>
      </c>
      <c r="U44" s="7">
        <f t="shared" si="21"/>
        <v>5717.105263157895</v>
      </c>
      <c r="V44" s="8">
        <f t="shared" si="22"/>
        <v>82000</v>
      </c>
      <c r="W44" s="9">
        <f t="shared" si="23"/>
        <v>539.47368421052636</v>
      </c>
      <c r="X44" s="237">
        <f t="shared" si="24"/>
        <v>0.10419313850063533</v>
      </c>
    </row>
    <row r="45" spans="2:24">
      <c r="B45" s="198">
        <v>3402</v>
      </c>
      <c r="C45" s="201" t="s">
        <v>53</v>
      </c>
      <c r="D45" s="218" t="s">
        <v>15</v>
      </c>
      <c r="E45" s="256"/>
      <c r="G45" s="236">
        <v>171</v>
      </c>
      <c r="H45" s="6">
        <v>697000</v>
      </c>
      <c r="I45" s="7">
        <f t="shared" si="13"/>
        <v>4076.0233918128656</v>
      </c>
      <c r="J45" s="6">
        <v>704000</v>
      </c>
      <c r="K45" s="7">
        <f t="shared" si="14"/>
        <v>4116.9590643274851</v>
      </c>
      <c r="L45" s="8">
        <f t="shared" si="15"/>
        <v>7000</v>
      </c>
      <c r="M45" s="9">
        <f t="shared" si="16"/>
        <v>40.935672514619881</v>
      </c>
      <c r="N45" s="10">
        <f t="shared" si="17"/>
        <v>1.0043041606886656E-2</v>
      </c>
      <c r="O45" s="6">
        <v>704000</v>
      </c>
      <c r="P45" s="7">
        <f t="shared" si="18"/>
        <v>4116.9590643274851</v>
      </c>
      <c r="Q45" s="8">
        <f t="shared" si="19"/>
        <v>7000</v>
      </c>
      <c r="R45" s="9">
        <f t="shared" si="20"/>
        <v>40.935672514619881</v>
      </c>
      <c r="S45" s="10">
        <f t="shared" si="25"/>
        <v>1.0043041606886656E-2</v>
      </c>
      <c r="T45" s="6">
        <v>704000</v>
      </c>
      <c r="U45" s="7">
        <f t="shared" si="21"/>
        <v>4116.9590643274851</v>
      </c>
      <c r="V45" s="8">
        <f t="shared" si="22"/>
        <v>7000</v>
      </c>
      <c r="W45" s="9">
        <f t="shared" si="23"/>
        <v>40.935672514619881</v>
      </c>
      <c r="X45" s="237">
        <f t="shared" si="24"/>
        <v>1.0043041606886656E-2</v>
      </c>
    </row>
    <row r="46" spans="2:24">
      <c r="B46" s="198">
        <v>3305</v>
      </c>
      <c r="C46" s="201" t="s">
        <v>67</v>
      </c>
      <c r="D46" s="218" t="s">
        <v>15</v>
      </c>
      <c r="E46" s="256"/>
      <c r="G46" s="236">
        <v>194</v>
      </c>
      <c r="H46" s="6">
        <v>795000</v>
      </c>
      <c r="I46" s="7">
        <f t="shared" si="13"/>
        <v>4097.9381443298971</v>
      </c>
      <c r="J46" s="6">
        <v>815000</v>
      </c>
      <c r="K46" s="7">
        <f t="shared" si="14"/>
        <v>4201.0309278350514</v>
      </c>
      <c r="L46" s="8">
        <f t="shared" si="15"/>
        <v>20000</v>
      </c>
      <c r="M46" s="9">
        <f t="shared" si="16"/>
        <v>103.09278350515464</v>
      </c>
      <c r="N46" s="10">
        <f t="shared" si="17"/>
        <v>2.5157232704402517E-2</v>
      </c>
      <c r="O46" s="6">
        <v>836000</v>
      </c>
      <c r="P46" s="7">
        <f t="shared" si="18"/>
        <v>4309.2783505154639</v>
      </c>
      <c r="Q46" s="8">
        <f t="shared" si="19"/>
        <v>41000</v>
      </c>
      <c r="R46" s="9">
        <f t="shared" si="20"/>
        <v>211.34020618556701</v>
      </c>
      <c r="S46" s="10">
        <f t="shared" si="25"/>
        <v>5.157232704402516E-2</v>
      </c>
      <c r="T46" s="6">
        <v>845000</v>
      </c>
      <c r="U46" s="7">
        <f t="shared" si="21"/>
        <v>4355.6701030927834</v>
      </c>
      <c r="V46" s="8">
        <f t="shared" si="22"/>
        <v>50000</v>
      </c>
      <c r="W46" s="9">
        <f t="shared" si="23"/>
        <v>257.73195876288662</v>
      </c>
      <c r="X46" s="237">
        <f t="shared" si="24"/>
        <v>6.2893081761006289E-2</v>
      </c>
    </row>
    <row r="47" spans="2:24">
      <c r="B47" s="198">
        <v>3222</v>
      </c>
      <c r="C47" s="201" t="s">
        <v>54</v>
      </c>
      <c r="D47" s="218" t="s">
        <v>15</v>
      </c>
      <c r="E47" s="256"/>
      <c r="G47" s="236">
        <v>119</v>
      </c>
      <c r="H47" s="6">
        <v>466000</v>
      </c>
      <c r="I47" s="7">
        <f t="shared" si="13"/>
        <v>3915.9663865546217</v>
      </c>
      <c r="J47" s="6">
        <v>476000</v>
      </c>
      <c r="K47" s="7">
        <f t="shared" si="14"/>
        <v>4000</v>
      </c>
      <c r="L47" s="8">
        <f t="shared" si="15"/>
        <v>10000</v>
      </c>
      <c r="M47" s="9">
        <f t="shared" si="16"/>
        <v>84.033613445378151</v>
      </c>
      <c r="N47" s="10">
        <f t="shared" si="17"/>
        <v>2.1459227467811159E-2</v>
      </c>
      <c r="O47" s="6">
        <v>482000</v>
      </c>
      <c r="P47" s="7">
        <f t="shared" si="18"/>
        <v>4050.4201680672268</v>
      </c>
      <c r="Q47" s="8">
        <f t="shared" si="19"/>
        <v>16000</v>
      </c>
      <c r="R47" s="9">
        <f t="shared" si="20"/>
        <v>134.45378151260505</v>
      </c>
      <c r="S47" s="10">
        <f t="shared" si="25"/>
        <v>3.4334763948497854E-2</v>
      </c>
      <c r="T47" s="6">
        <v>482000</v>
      </c>
      <c r="U47" s="7">
        <f t="shared" si="21"/>
        <v>4050.4201680672268</v>
      </c>
      <c r="V47" s="8">
        <f t="shared" si="22"/>
        <v>16000</v>
      </c>
      <c r="W47" s="9">
        <f t="shared" si="23"/>
        <v>134.45378151260505</v>
      </c>
      <c r="X47" s="237">
        <f t="shared" si="24"/>
        <v>3.4334763948497854E-2</v>
      </c>
    </row>
    <row r="48" spans="2:24">
      <c r="B48" s="198">
        <v>3156</v>
      </c>
      <c r="C48" s="201" t="s">
        <v>55</v>
      </c>
      <c r="D48" s="218" t="s">
        <v>15</v>
      </c>
      <c r="E48" s="256"/>
      <c r="G48" s="236">
        <v>307</v>
      </c>
      <c r="H48" s="6">
        <v>1281000</v>
      </c>
      <c r="I48" s="7">
        <f t="shared" si="13"/>
        <v>4172.6384364820851</v>
      </c>
      <c r="J48" s="6">
        <v>1367000</v>
      </c>
      <c r="K48" s="7">
        <f t="shared" si="14"/>
        <v>4452.7687296416934</v>
      </c>
      <c r="L48" s="8">
        <f t="shared" si="15"/>
        <v>86000</v>
      </c>
      <c r="M48" s="9">
        <f t="shared" si="16"/>
        <v>280.1302931596091</v>
      </c>
      <c r="N48" s="10">
        <f t="shared" si="17"/>
        <v>6.7135050741608124E-2</v>
      </c>
      <c r="O48" s="6">
        <v>1440000</v>
      </c>
      <c r="P48" s="7">
        <f t="shared" si="18"/>
        <v>4690.5537459283387</v>
      </c>
      <c r="Q48" s="8">
        <f t="shared" si="19"/>
        <v>159000</v>
      </c>
      <c r="R48" s="9">
        <f t="shared" si="20"/>
        <v>517.91530944625413</v>
      </c>
      <c r="S48" s="10">
        <f t="shared" si="25"/>
        <v>0.12412177985948478</v>
      </c>
      <c r="T48" s="6">
        <v>1450000</v>
      </c>
      <c r="U48" s="7">
        <f t="shared" si="21"/>
        <v>4723.1270358306192</v>
      </c>
      <c r="V48" s="8">
        <f t="shared" si="22"/>
        <v>169000</v>
      </c>
      <c r="W48" s="9">
        <f t="shared" si="23"/>
        <v>550.48859934853419</v>
      </c>
      <c r="X48" s="237">
        <f t="shared" si="24"/>
        <v>0.13192818110850899</v>
      </c>
    </row>
    <row r="49" spans="2:24">
      <c r="B49" s="198">
        <v>3003</v>
      </c>
      <c r="C49" s="201" t="s">
        <v>56</v>
      </c>
      <c r="D49" s="218" t="s">
        <v>15</v>
      </c>
      <c r="E49" s="256"/>
      <c r="G49" s="236">
        <v>172</v>
      </c>
      <c r="H49" s="6">
        <v>623000</v>
      </c>
      <c r="I49" s="7">
        <f t="shared" si="13"/>
        <v>3622.0930232558139</v>
      </c>
      <c r="J49" s="6">
        <v>638000</v>
      </c>
      <c r="K49" s="7">
        <f t="shared" si="14"/>
        <v>3709.3023255813955</v>
      </c>
      <c r="L49" s="8">
        <f t="shared" si="15"/>
        <v>15000</v>
      </c>
      <c r="M49" s="9">
        <f t="shared" si="16"/>
        <v>87.20930232558139</v>
      </c>
      <c r="N49" s="10">
        <f t="shared" si="17"/>
        <v>2.4077046548956663E-2</v>
      </c>
      <c r="O49" s="6">
        <v>654000</v>
      </c>
      <c r="P49" s="7">
        <f t="shared" si="18"/>
        <v>3802.3255813953488</v>
      </c>
      <c r="Q49" s="8">
        <f t="shared" si="19"/>
        <v>31000</v>
      </c>
      <c r="R49" s="9">
        <f t="shared" si="20"/>
        <v>180.23255813953489</v>
      </c>
      <c r="S49" s="10">
        <f t="shared" si="25"/>
        <v>4.9759229534510431E-2</v>
      </c>
      <c r="T49" s="6">
        <v>661000</v>
      </c>
      <c r="U49" s="7">
        <f t="shared" si="21"/>
        <v>3843.0232558139537</v>
      </c>
      <c r="V49" s="8">
        <f t="shared" si="22"/>
        <v>38000</v>
      </c>
      <c r="W49" s="9">
        <f t="shared" si="23"/>
        <v>220.93023255813952</v>
      </c>
      <c r="X49" s="237">
        <f t="shared" si="24"/>
        <v>6.0995184590690206E-2</v>
      </c>
    </row>
    <row r="50" spans="2:24">
      <c r="B50" s="198">
        <v>3403</v>
      </c>
      <c r="C50" s="201" t="s">
        <v>68</v>
      </c>
      <c r="D50" s="218" t="s">
        <v>15</v>
      </c>
      <c r="E50" s="256"/>
      <c r="G50" s="236">
        <v>263</v>
      </c>
      <c r="H50" s="6">
        <v>916000</v>
      </c>
      <c r="I50" s="7">
        <f t="shared" si="13"/>
        <v>3482.889733840304</v>
      </c>
      <c r="J50" s="6">
        <v>940000</v>
      </c>
      <c r="K50" s="7">
        <f t="shared" si="14"/>
        <v>3574.1444866920151</v>
      </c>
      <c r="L50" s="8">
        <f t="shared" si="15"/>
        <v>24000</v>
      </c>
      <c r="M50" s="9">
        <f t="shared" si="16"/>
        <v>91.254752851711032</v>
      </c>
      <c r="N50" s="10">
        <f t="shared" si="17"/>
        <v>2.6200873362445413E-2</v>
      </c>
      <c r="O50" s="6">
        <v>964000</v>
      </c>
      <c r="P50" s="7">
        <f t="shared" si="18"/>
        <v>3665.3992395437263</v>
      </c>
      <c r="Q50" s="8">
        <f t="shared" si="19"/>
        <v>48000</v>
      </c>
      <c r="R50" s="9">
        <f t="shared" si="20"/>
        <v>182.50950570342206</v>
      </c>
      <c r="S50" s="10">
        <f t="shared" si="25"/>
        <v>5.2401746724890827E-2</v>
      </c>
      <c r="T50" s="6">
        <v>1013000</v>
      </c>
      <c r="U50" s="7">
        <f t="shared" si="21"/>
        <v>3851.7110266159698</v>
      </c>
      <c r="V50" s="8">
        <f t="shared" si="22"/>
        <v>97000</v>
      </c>
      <c r="W50" s="9">
        <f t="shared" si="23"/>
        <v>368.82129277566543</v>
      </c>
      <c r="X50" s="237">
        <f t="shared" si="24"/>
        <v>0.10589519650655022</v>
      </c>
    </row>
    <row r="51" spans="2:24">
      <c r="B51" s="198">
        <v>2227</v>
      </c>
      <c r="C51" s="201" t="s">
        <v>57</v>
      </c>
      <c r="D51" s="218" t="s">
        <v>15</v>
      </c>
      <c r="E51" s="256"/>
      <c r="G51" s="236">
        <v>92</v>
      </c>
      <c r="H51" s="6">
        <v>422000</v>
      </c>
      <c r="I51" s="7">
        <f t="shared" si="13"/>
        <v>4586.95652173913</v>
      </c>
      <c r="J51" s="6">
        <v>424000</v>
      </c>
      <c r="K51" s="7">
        <f t="shared" si="14"/>
        <v>4608.695652173913</v>
      </c>
      <c r="L51" s="8">
        <f t="shared" si="15"/>
        <v>2000</v>
      </c>
      <c r="M51" s="9">
        <f t="shared" si="16"/>
        <v>21.739130434782609</v>
      </c>
      <c r="N51" s="10">
        <f t="shared" si="17"/>
        <v>4.7393364928909956E-3</v>
      </c>
      <c r="O51" s="6">
        <v>425000</v>
      </c>
      <c r="P51" s="7">
        <f t="shared" si="18"/>
        <v>4619.565217391304</v>
      </c>
      <c r="Q51" s="8">
        <f t="shared" si="19"/>
        <v>3000</v>
      </c>
      <c r="R51" s="9">
        <f t="shared" si="20"/>
        <v>32.608695652173914</v>
      </c>
      <c r="S51" s="10">
        <v>0.01</v>
      </c>
      <c r="T51" s="6">
        <v>425000</v>
      </c>
      <c r="U51" s="7">
        <f t="shared" si="21"/>
        <v>4619.565217391304</v>
      </c>
      <c r="V51" s="8">
        <f t="shared" si="22"/>
        <v>3000</v>
      </c>
      <c r="W51" s="9">
        <f t="shared" si="23"/>
        <v>32.608695652173914</v>
      </c>
      <c r="X51" s="237">
        <v>0.01</v>
      </c>
    </row>
    <row r="52" spans="2:24">
      <c r="B52" s="198">
        <v>2429</v>
      </c>
      <c r="C52" s="201" t="s">
        <v>58</v>
      </c>
      <c r="D52" s="218" t="s">
        <v>69</v>
      </c>
      <c r="E52" s="256" t="s">
        <v>70</v>
      </c>
      <c r="G52" s="236">
        <v>191</v>
      </c>
      <c r="H52" s="6">
        <v>861000</v>
      </c>
      <c r="I52" s="7">
        <f t="shared" si="13"/>
        <v>4507.853403141361</v>
      </c>
      <c r="J52" s="6">
        <v>870000</v>
      </c>
      <c r="K52" s="7">
        <f t="shared" si="14"/>
        <v>4554.9738219895289</v>
      </c>
      <c r="L52" s="8">
        <f t="shared" si="15"/>
        <v>9000</v>
      </c>
      <c r="M52" s="9">
        <f t="shared" si="16"/>
        <v>47.120418848167539</v>
      </c>
      <c r="N52" s="10">
        <f t="shared" si="17"/>
        <v>1.0452961672473868E-2</v>
      </c>
      <c r="O52" s="6">
        <v>870000</v>
      </c>
      <c r="P52" s="7">
        <f t="shared" si="18"/>
        <v>4554.9738219895289</v>
      </c>
      <c r="Q52" s="8">
        <f t="shared" si="19"/>
        <v>9000</v>
      </c>
      <c r="R52" s="9">
        <f t="shared" si="20"/>
        <v>47.120418848167539</v>
      </c>
      <c r="S52" s="10">
        <f t="shared" si="25"/>
        <v>1.0452961672473868E-2</v>
      </c>
      <c r="T52" s="6">
        <v>870000</v>
      </c>
      <c r="U52" s="7">
        <f t="shared" si="21"/>
        <v>4554.9738219895289</v>
      </c>
      <c r="V52" s="8">
        <f t="shared" si="22"/>
        <v>9000</v>
      </c>
      <c r="W52" s="9">
        <f t="shared" si="23"/>
        <v>47.120418848167539</v>
      </c>
      <c r="X52" s="237">
        <f t="shared" si="24"/>
        <v>1.0452961672473868E-2</v>
      </c>
    </row>
    <row r="53" spans="2:24">
      <c r="B53" s="198">
        <v>2017</v>
      </c>
      <c r="C53" s="201" t="s">
        <v>59</v>
      </c>
      <c r="D53" s="218" t="s">
        <v>15</v>
      </c>
      <c r="E53" s="256"/>
      <c r="G53" s="236">
        <v>524</v>
      </c>
      <c r="H53" s="6">
        <v>1858000</v>
      </c>
      <c r="I53" s="7">
        <f t="shared" si="13"/>
        <v>3545.8015267175574</v>
      </c>
      <c r="J53" s="6">
        <v>1909000</v>
      </c>
      <c r="K53" s="7">
        <f t="shared" si="14"/>
        <v>3643.1297709923665</v>
      </c>
      <c r="L53" s="8">
        <f t="shared" si="15"/>
        <v>51000</v>
      </c>
      <c r="M53" s="9">
        <f t="shared" si="16"/>
        <v>97.328244274809165</v>
      </c>
      <c r="N53" s="10">
        <f t="shared" si="17"/>
        <v>2.7448869752421959E-2</v>
      </c>
      <c r="O53" s="6">
        <v>1962000</v>
      </c>
      <c r="P53" s="7">
        <f t="shared" si="18"/>
        <v>3744.2748091603053</v>
      </c>
      <c r="Q53" s="8">
        <f t="shared" si="19"/>
        <v>104000</v>
      </c>
      <c r="R53" s="9">
        <f t="shared" si="20"/>
        <v>198.47328244274809</v>
      </c>
      <c r="S53" s="10">
        <f t="shared" si="25"/>
        <v>5.5974165769644778E-2</v>
      </c>
      <c r="T53" s="6">
        <v>2052000</v>
      </c>
      <c r="U53" s="7">
        <f t="shared" si="21"/>
        <v>3916.030534351145</v>
      </c>
      <c r="V53" s="8">
        <f t="shared" si="22"/>
        <v>194000</v>
      </c>
      <c r="W53" s="9">
        <f t="shared" si="23"/>
        <v>370.2290076335878</v>
      </c>
      <c r="X53" s="237">
        <f t="shared" si="24"/>
        <v>0.10441334768568353</v>
      </c>
    </row>
    <row r="54" spans="2:24">
      <c r="B54" s="198">
        <v>3380</v>
      </c>
      <c r="C54" s="201" t="s">
        <v>60</v>
      </c>
      <c r="D54" s="218" t="s">
        <v>15</v>
      </c>
      <c r="E54" s="256"/>
      <c r="G54" s="236">
        <v>226</v>
      </c>
      <c r="H54" s="6">
        <v>713000</v>
      </c>
      <c r="I54" s="7">
        <f t="shared" si="13"/>
        <v>3154.8672566371683</v>
      </c>
      <c r="J54" s="6">
        <v>750000</v>
      </c>
      <c r="K54" s="7">
        <f t="shared" si="14"/>
        <v>3318.5840707964603</v>
      </c>
      <c r="L54" s="8">
        <f t="shared" si="15"/>
        <v>37000</v>
      </c>
      <c r="M54" s="9">
        <f t="shared" si="16"/>
        <v>163.71681415929203</v>
      </c>
      <c r="N54" s="10">
        <f t="shared" si="17"/>
        <v>5.1893408134642355E-2</v>
      </c>
      <c r="O54" s="6">
        <v>795000</v>
      </c>
      <c r="P54" s="7">
        <f t="shared" si="18"/>
        <v>3517.6991150442477</v>
      </c>
      <c r="Q54" s="8">
        <f t="shared" si="19"/>
        <v>82000</v>
      </c>
      <c r="R54" s="9">
        <f t="shared" si="20"/>
        <v>362.83185840707966</v>
      </c>
      <c r="S54" s="10">
        <f t="shared" si="25"/>
        <v>0.11500701262272089</v>
      </c>
      <c r="T54" s="6">
        <v>795000</v>
      </c>
      <c r="U54" s="7">
        <f t="shared" si="21"/>
        <v>3517.6991150442477</v>
      </c>
      <c r="V54" s="8">
        <f t="shared" si="22"/>
        <v>82000</v>
      </c>
      <c r="W54" s="9">
        <f t="shared" si="23"/>
        <v>362.83185840707966</v>
      </c>
      <c r="X54" s="237">
        <f t="shared" si="24"/>
        <v>0.11500701262272089</v>
      </c>
    </row>
    <row r="55" spans="2:24">
      <c r="B55" s="198">
        <v>2240</v>
      </c>
      <c r="C55" s="201" t="s">
        <v>61</v>
      </c>
      <c r="D55" s="218" t="s">
        <v>15</v>
      </c>
      <c r="E55" s="256"/>
      <c r="G55" s="236">
        <v>271</v>
      </c>
      <c r="H55" s="6">
        <v>848000</v>
      </c>
      <c r="I55" s="7">
        <f t="shared" si="13"/>
        <v>3129.1512915129151</v>
      </c>
      <c r="J55" s="6">
        <v>907000</v>
      </c>
      <c r="K55" s="7">
        <f t="shared" si="14"/>
        <v>3346.8634686346863</v>
      </c>
      <c r="L55" s="8">
        <f t="shared" si="15"/>
        <v>59000</v>
      </c>
      <c r="M55" s="9">
        <f t="shared" si="16"/>
        <v>217.71217712177122</v>
      </c>
      <c r="N55" s="10">
        <f t="shared" si="17"/>
        <v>6.9575471698113206E-2</v>
      </c>
      <c r="O55" s="6">
        <v>961000</v>
      </c>
      <c r="P55" s="7">
        <f t="shared" si="18"/>
        <v>3546.1254612546127</v>
      </c>
      <c r="Q55" s="8">
        <f t="shared" si="19"/>
        <v>113000</v>
      </c>
      <c r="R55" s="9">
        <f t="shared" si="20"/>
        <v>416.97416974169744</v>
      </c>
      <c r="S55" s="10">
        <f t="shared" si="25"/>
        <v>0.13325471698113209</v>
      </c>
      <c r="T55" s="6">
        <v>961000</v>
      </c>
      <c r="U55" s="7">
        <f t="shared" si="21"/>
        <v>3546.1254612546127</v>
      </c>
      <c r="V55" s="8">
        <f t="shared" si="22"/>
        <v>113000</v>
      </c>
      <c r="W55" s="9">
        <f t="shared" si="23"/>
        <v>416.97416974169744</v>
      </c>
      <c r="X55" s="237">
        <f t="shared" si="24"/>
        <v>0.13325471698113209</v>
      </c>
    </row>
    <row r="56" spans="2:24">
      <c r="B56" s="198">
        <v>2027</v>
      </c>
      <c r="C56" s="201" t="s">
        <v>62</v>
      </c>
      <c r="D56" s="218" t="s">
        <v>15</v>
      </c>
      <c r="E56" s="256" t="s">
        <v>73</v>
      </c>
      <c r="G56" s="236">
        <v>391</v>
      </c>
      <c r="H56" s="6">
        <v>1316000</v>
      </c>
      <c r="I56" s="7">
        <f t="shared" si="13"/>
        <v>3365.7289002557545</v>
      </c>
      <c r="J56" s="6">
        <v>1352000</v>
      </c>
      <c r="K56" s="7">
        <f t="shared" si="14"/>
        <v>3457.8005115089513</v>
      </c>
      <c r="L56" s="8">
        <f t="shared" si="15"/>
        <v>36000</v>
      </c>
      <c r="M56" s="9">
        <f t="shared" si="16"/>
        <v>92.071611253196934</v>
      </c>
      <c r="N56" s="10">
        <f t="shared" si="17"/>
        <v>2.7355623100303952E-2</v>
      </c>
      <c r="O56" s="6">
        <v>1393000</v>
      </c>
      <c r="P56" s="7">
        <f t="shared" si="18"/>
        <v>3562.6598465473144</v>
      </c>
      <c r="Q56" s="8">
        <f t="shared" si="19"/>
        <v>77000</v>
      </c>
      <c r="R56" s="9">
        <f t="shared" si="20"/>
        <v>196.9309462915601</v>
      </c>
      <c r="S56" s="10">
        <f t="shared" si="25"/>
        <v>5.8510638297872342E-2</v>
      </c>
      <c r="T56" s="6">
        <v>1489000</v>
      </c>
      <c r="U56" s="7">
        <f t="shared" si="21"/>
        <v>3808.1841432225065</v>
      </c>
      <c r="V56" s="8">
        <f t="shared" si="22"/>
        <v>173000</v>
      </c>
      <c r="W56" s="9">
        <f t="shared" si="23"/>
        <v>442.45524296675194</v>
      </c>
      <c r="X56" s="237">
        <f t="shared" si="24"/>
        <v>0.13145896656534956</v>
      </c>
    </row>
    <row r="57" spans="2:24">
      <c r="B57" s="198">
        <v>2015</v>
      </c>
      <c r="C57" s="201" t="s">
        <v>63</v>
      </c>
      <c r="D57" s="218" t="s">
        <v>15</v>
      </c>
      <c r="E57" s="256"/>
      <c r="G57" s="236">
        <v>367</v>
      </c>
      <c r="H57" s="6">
        <v>1280000</v>
      </c>
      <c r="I57" s="7">
        <f t="shared" si="13"/>
        <v>3487.7384196185285</v>
      </c>
      <c r="J57" s="6">
        <v>1314000</v>
      </c>
      <c r="K57" s="7">
        <f t="shared" si="14"/>
        <v>3580.3814713896459</v>
      </c>
      <c r="L57" s="8">
        <f t="shared" si="15"/>
        <v>34000</v>
      </c>
      <c r="M57" s="9">
        <f t="shared" si="16"/>
        <v>92.643051771117172</v>
      </c>
      <c r="N57" s="10">
        <f t="shared" si="17"/>
        <v>2.6562499999999999E-2</v>
      </c>
      <c r="O57" s="6">
        <v>1350000</v>
      </c>
      <c r="P57" s="7">
        <f t="shared" si="18"/>
        <v>3678.474114441417</v>
      </c>
      <c r="Q57" s="8">
        <f t="shared" si="19"/>
        <v>70000</v>
      </c>
      <c r="R57" s="9">
        <f t="shared" si="20"/>
        <v>190.73569482288829</v>
      </c>
      <c r="S57" s="10">
        <f t="shared" si="25"/>
        <v>5.46875E-2</v>
      </c>
      <c r="T57" s="6">
        <v>1434000</v>
      </c>
      <c r="U57" s="7">
        <f t="shared" si="21"/>
        <v>3907.3569482288826</v>
      </c>
      <c r="V57" s="8">
        <f t="shared" si="22"/>
        <v>154000</v>
      </c>
      <c r="W57" s="9">
        <f t="shared" si="23"/>
        <v>419.61852861035425</v>
      </c>
      <c r="X57" s="237">
        <f t="shared" si="24"/>
        <v>0.1203125</v>
      </c>
    </row>
    <row r="58" spans="2:24" ht="5.0999999999999996" customHeight="1">
      <c r="B58" s="198"/>
      <c r="C58" s="201"/>
      <c r="D58" s="218"/>
      <c r="E58" s="256"/>
      <c r="G58" s="236"/>
      <c r="H58" s="6"/>
      <c r="I58" s="7"/>
      <c r="J58" s="6"/>
      <c r="K58" s="7"/>
      <c r="L58" s="8"/>
      <c r="M58" s="9"/>
      <c r="N58" s="10"/>
      <c r="O58" s="6"/>
      <c r="P58" s="7"/>
      <c r="Q58" s="8"/>
      <c r="R58" s="9"/>
      <c r="S58" s="10"/>
      <c r="T58" s="6"/>
      <c r="U58" s="7"/>
      <c r="V58" s="8"/>
      <c r="W58" s="9"/>
      <c r="X58" s="237"/>
    </row>
    <row r="59" spans="2:24" ht="15.75">
      <c r="B59" s="205"/>
      <c r="C59" s="85" t="s">
        <v>167</v>
      </c>
      <c r="D59" s="225"/>
      <c r="E59" s="257"/>
      <c r="F59" s="221"/>
      <c r="G59" s="238">
        <f>SUM(G7:G58)</f>
        <v>13722</v>
      </c>
      <c r="H59" s="213">
        <f>SUM(H7:H58)</f>
        <v>47993000</v>
      </c>
      <c r="I59" s="214">
        <f t="shared" si="13"/>
        <v>3497.5222270806007</v>
      </c>
      <c r="J59" s="213">
        <f>SUM(J7:J58)</f>
        <v>50217000</v>
      </c>
      <c r="K59" s="214">
        <f t="shared" si="14"/>
        <v>3659.5977262789679</v>
      </c>
      <c r="L59" s="215">
        <f>SUM(L7:L58)</f>
        <v>2224000</v>
      </c>
      <c r="M59" s="216">
        <f t="shared" si="16"/>
        <v>162.07549919836759</v>
      </c>
      <c r="N59" s="217">
        <f t="shared" si="17"/>
        <v>4.6340091263309235E-2</v>
      </c>
      <c r="O59" s="213">
        <f>SUM(O7:O58)</f>
        <v>52068000</v>
      </c>
      <c r="P59" s="214">
        <f t="shared" si="18"/>
        <v>3794.4905990380412</v>
      </c>
      <c r="Q59" s="215">
        <f>SUM(Q7:Q58)</f>
        <v>4075000</v>
      </c>
      <c r="R59" s="216">
        <f t="shared" si="20"/>
        <v>296.96837195744058</v>
      </c>
      <c r="S59" s="217">
        <f t="shared" si="25"/>
        <v>8.4908215781468135E-2</v>
      </c>
      <c r="T59" s="213">
        <f>SUM(T7:T58)</f>
        <v>52807000</v>
      </c>
      <c r="U59" s="214">
        <f t="shared" si="21"/>
        <v>3848.3457221979302</v>
      </c>
      <c r="V59" s="215">
        <f>SUM(V7:V58)</f>
        <v>4814000</v>
      </c>
      <c r="W59" s="216">
        <f t="shared" si="23"/>
        <v>350.82349511732986</v>
      </c>
      <c r="X59" s="239">
        <f t="shared" si="24"/>
        <v>0.10030629466797242</v>
      </c>
    </row>
    <row r="60" spans="2:24" ht="24.95" customHeight="1">
      <c r="B60" s="198"/>
      <c r="C60" s="92" t="s">
        <v>168</v>
      </c>
      <c r="D60" s="218"/>
      <c r="E60" s="256"/>
      <c r="G60" s="244"/>
      <c r="H60" s="245"/>
      <c r="I60" s="246"/>
      <c r="J60" s="245"/>
      <c r="K60" s="246"/>
      <c r="L60" s="245"/>
      <c r="M60" s="240"/>
      <c r="N60" s="247"/>
      <c r="O60" s="245"/>
      <c r="P60" s="246"/>
      <c r="Q60" s="245"/>
      <c r="R60" s="240"/>
      <c r="S60" s="247"/>
      <c r="T60" s="245"/>
      <c r="U60" s="246"/>
      <c r="V60" s="245"/>
      <c r="W60" s="240"/>
      <c r="X60" s="241"/>
    </row>
    <row r="61" spans="2:24">
      <c r="B61" s="198">
        <v>4702</v>
      </c>
      <c r="C61" s="201" t="s">
        <v>10</v>
      </c>
      <c r="D61" s="218" t="s">
        <v>15</v>
      </c>
      <c r="E61" s="256"/>
      <c r="G61" s="236">
        <v>892</v>
      </c>
      <c r="H61" s="6">
        <v>4199000</v>
      </c>
      <c r="I61" s="7">
        <f t="shared" ref="I61:I69" si="26">H61/$G61</f>
        <v>4707.3991031390133</v>
      </c>
      <c r="J61" s="6">
        <v>4315000</v>
      </c>
      <c r="K61" s="7">
        <f t="shared" ref="K61:K69" si="27">J61/$G61</f>
        <v>4837.4439461883412</v>
      </c>
      <c r="L61" s="8">
        <f t="shared" ref="L61:L69" si="28">J61-H61</f>
        <v>116000</v>
      </c>
      <c r="M61" s="9">
        <f t="shared" ref="M61:M71" si="29">L61/$G61</f>
        <v>130.04484304932734</v>
      </c>
      <c r="N61" s="10">
        <f t="shared" ref="N61:N71" si="30">L61/H61</f>
        <v>2.7625625148844962E-2</v>
      </c>
      <c r="O61" s="6">
        <v>4482000</v>
      </c>
      <c r="P61" s="7">
        <f t="shared" ref="P61:P73" si="31">O61/$G61</f>
        <v>5024.6636771300446</v>
      </c>
      <c r="Q61" s="8">
        <f t="shared" ref="Q61:Q69" si="32">O61-H61</f>
        <v>283000</v>
      </c>
      <c r="R61" s="9">
        <f t="shared" ref="R61:R71" si="33">Q61/$G61</f>
        <v>317.2645739910314</v>
      </c>
      <c r="S61" s="10">
        <f t="shared" ref="S61:S71" si="34">Q61/H61</f>
        <v>6.7396999285544171E-2</v>
      </c>
      <c r="T61" s="6">
        <v>4482000</v>
      </c>
      <c r="U61" s="7">
        <f t="shared" ref="U61:U73" si="35">T61/$G61</f>
        <v>5024.6636771300446</v>
      </c>
      <c r="V61" s="8">
        <f t="shared" ref="V61:V69" si="36">T61-H61</f>
        <v>283000</v>
      </c>
      <c r="W61" s="9">
        <f t="shared" ref="W61:W71" si="37">V61/$G61</f>
        <v>317.2645739910314</v>
      </c>
      <c r="X61" s="237">
        <f t="shared" ref="X61:X71" si="38">V61/H61</f>
        <v>6.7396999285544171E-2</v>
      </c>
    </row>
    <row r="62" spans="2:24">
      <c r="B62" s="198">
        <v>4500</v>
      </c>
      <c r="C62" s="201" t="s">
        <v>12</v>
      </c>
      <c r="D62" s="218" t="s">
        <v>69</v>
      </c>
      <c r="E62" s="256" t="s">
        <v>70</v>
      </c>
      <c r="G62" s="236">
        <v>1119</v>
      </c>
      <c r="H62" s="6">
        <v>5159000</v>
      </c>
      <c r="I62" s="7">
        <f t="shared" si="26"/>
        <v>4610.3663985701523</v>
      </c>
      <c r="J62" s="6">
        <v>5311000</v>
      </c>
      <c r="K62" s="7">
        <f t="shared" si="27"/>
        <v>4746.2019660411079</v>
      </c>
      <c r="L62" s="8">
        <f t="shared" si="28"/>
        <v>152000</v>
      </c>
      <c r="M62" s="9">
        <f t="shared" si="29"/>
        <v>135.83556747095622</v>
      </c>
      <c r="N62" s="10">
        <f t="shared" si="30"/>
        <v>2.9463074239193643E-2</v>
      </c>
      <c r="O62" s="6">
        <v>5435000</v>
      </c>
      <c r="P62" s="7">
        <f t="shared" si="31"/>
        <v>4857.0151921358356</v>
      </c>
      <c r="Q62" s="8">
        <f t="shared" si="32"/>
        <v>276000</v>
      </c>
      <c r="R62" s="9">
        <f t="shared" si="33"/>
        <v>246.64879356568363</v>
      </c>
      <c r="S62" s="10">
        <f t="shared" si="34"/>
        <v>5.3498740065904243E-2</v>
      </c>
      <c r="T62" s="6">
        <v>5435000</v>
      </c>
      <c r="U62" s="7">
        <f t="shared" si="35"/>
        <v>4857.0151921358356</v>
      </c>
      <c r="V62" s="8">
        <f t="shared" si="36"/>
        <v>276000</v>
      </c>
      <c r="W62" s="9">
        <f t="shared" si="37"/>
        <v>246.64879356568363</v>
      </c>
      <c r="X62" s="237">
        <f t="shared" si="38"/>
        <v>5.3498740065904243E-2</v>
      </c>
    </row>
    <row r="63" spans="2:24">
      <c r="B63" s="198">
        <v>4153</v>
      </c>
      <c r="C63" s="201" t="s">
        <v>7</v>
      </c>
      <c r="D63" s="218" t="s">
        <v>15</v>
      </c>
      <c r="E63" s="256"/>
      <c r="G63" s="236">
        <v>1099</v>
      </c>
      <c r="H63" s="6">
        <v>4893000</v>
      </c>
      <c r="I63" s="7">
        <f t="shared" si="26"/>
        <v>4452.2292993630572</v>
      </c>
      <c r="J63" s="6">
        <v>5200000</v>
      </c>
      <c r="K63" s="7">
        <f t="shared" si="27"/>
        <v>4731.5741583257504</v>
      </c>
      <c r="L63" s="8">
        <f t="shared" si="28"/>
        <v>307000</v>
      </c>
      <c r="M63" s="9">
        <f t="shared" si="29"/>
        <v>279.34485896269337</v>
      </c>
      <c r="N63" s="10">
        <f t="shared" si="30"/>
        <v>6.2742693643981204E-2</v>
      </c>
      <c r="O63" s="6">
        <v>5419000</v>
      </c>
      <c r="P63" s="7">
        <f t="shared" si="31"/>
        <v>4930.8462238398542</v>
      </c>
      <c r="Q63" s="8">
        <f t="shared" si="32"/>
        <v>526000</v>
      </c>
      <c r="R63" s="9">
        <f t="shared" si="33"/>
        <v>478.61692447679707</v>
      </c>
      <c r="S63" s="10">
        <f t="shared" si="34"/>
        <v>0.10750051093398733</v>
      </c>
      <c r="T63" s="6">
        <v>5419000</v>
      </c>
      <c r="U63" s="7">
        <f t="shared" si="35"/>
        <v>4930.8462238398542</v>
      </c>
      <c r="V63" s="8">
        <f t="shared" si="36"/>
        <v>526000</v>
      </c>
      <c r="W63" s="9">
        <f t="shared" si="37"/>
        <v>478.61692447679707</v>
      </c>
      <c r="X63" s="237">
        <f t="shared" si="38"/>
        <v>0.10750051093398733</v>
      </c>
    </row>
    <row r="64" spans="2:24">
      <c r="B64" s="198">
        <v>4063</v>
      </c>
      <c r="C64" s="201" t="s">
        <v>35</v>
      </c>
      <c r="D64" s="218" t="s">
        <v>15</v>
      </c>
      <c r="E64" s="256"/>
      <c r="G64" s="236">
        <v>1181</v>
      </c>
      <c r="H64" s="6">
        <v>5363000</v>
      </c>
      <c r="I64" s="7">
        <f t="shared" si="26"/>
        <v>4541.0668924640131</v>
      </c>
      <c r="J64" s="6">
        <v>5619000</v>
      </c>
      <c r="K64" s="7">
        <f t="shared" si="27"/>
        <v>4757.8323454699412</v>
      </c>
      <c r="L64" s="8">
        <f t="shared" si="28"/>
        <v>256000</v>
      </c>
      <c r="M64" s="9">
        <f t="shared" si="29"/>
        <v>216.76545300592718</v>
      </c>
      <c r="N64" s="10">
        <f t="shared" si="30"/>
        <v>4.7734476971844117E-2</v>
      </c>
      <c r="O64" s="6">
        <v>5855000</v>
      </c>
      <c r="P64" s="7">
        <f t="shared" si="31"/>
        <v>4957.6629974597799</v>
      </c>
      <c r="Q64" s="8">
        <f t="shared" si="32"/>
        <v>492000</v>
      </c>
      <c r="R64" s="9">
        <f t="shared" si="33"/>
        <v>416.59610499576632</v>
      </c>
      <c r="S64" s="10">
        <f t="shared" si="34"/>
        <v>9.1739697930262917E-2</v>
      </c>
      <c r="T64" s="6">
        <v>5855000</v>
      </c>
      <c r="U64" s="7">
        <f t="shared" si="35"/>
        <v>4957.6629974597799</v>
      </c>
      <c r="V64" s="8">
        <f t="shared" si="36"/>
        <v>492000</v>
      </c>
      <c r="W64" s="9">
        <f t="shared" si="37"/>
        <v>416.59610499576632</v>
      </c>
      <c r="X64" s="237">
        <f t="shared" si="38"/>
        <v>9.1739697930262917E-2</v>
      </c>
    </row>
    <row r="65" spans="2:24">
      <c r="B65" s="198">
        <v>4508</v>
      </c>
      <c r="C65" s="201" t="s">
        <v>8</v>
      </c>
      <c r="D65" s="218" t="s">
        <v>15</v>
      </c>
      <c r="E65" s="256"/>
      <c r="G65" s="236">
        <v>1060</v>
      </c>
      <c r="H65" s="6">
        <v>5076000</v>
      </c>
      <c r="I65" s="7">
        <f t="shared" si="26"/>
        <v>4788.6792452830186</v>
      </c>
      <c r="J65" s="6">
        <v>5217000</v>
      </c>
      <c r="K65" s="7">
        <f t="shared" si="27"/>
        <v>4921.6981132075471</v>
      </c>
      <c r="L65" s="8">
        <f t="shared" si="28"/>
        <v>141000</v>
      </c>
      <c r="M65" s="9">
        <f t="shared" si="29"/>
        <v>133.01886792452831</v>
      </c>
      <c r="N65" s="10">
        <f t="shared" si="30"/>
        <v>2.7777777777777776E-2</v>
      </c>
      <c r="O65" s="6">
        <v>5363000</v>
      </c>
      <c r="P65" s="7">
        <f t="shared" si="31"/>
        <v>5059.433962264151</v>
      </c>
      <c r="Q65" s="8">
        <f t="shared" si="32"/>
        <v>287000</v>
      </c>
      <c r="R65" s="9">
        <f t="shared" si="33"/>
        <v>270.75471698113205</v>
      </c>
      <c r="S65" s="10">
        <f t="shared" si="34"/>
        <v>5.6540583136327816E-2</v>
      </c>
      <c r="T65" s="6">
        <v>5367000</v>
      </c>
      <c r="U65" s="7">
        <f t="shared" si="35"/>
        <v>5063.2075471698117</v>
      </c>
      <c r="V65" s="8">
        <f t="shared" si="36"/>
        <v>291000</v>
      </c>
      <c r="W65" s="9">
        <f t="shared" si="37"/>
        <v>274.52830188679246</v>
      </c>
      <c r="X65" s="237">
        <f t="shared" si="38"/>
        <v>5.7328605200945626E-2</v>
      </c>
    </row>
    <row r="66" spans="2:24">
      <c r="B66" s="198">
        <v>4602</v>
      </c>
      <c r="C66" s="201" t="s">
        <v>39</v>
      </c>
      <c r="D66" s="218" t="s">
        <v>69</v>
      </c>
      <c r="E66" s="256" t="s">
        <v>71</v>
      </c>
      <c r="G66" s="236">
        <v>1029</v>
      </c>
      <c r="H66" s="6">
        <v>4569000</v>
      </c>
      <c r="I66" s="7">
        <f t="shared" si="26"/>
        <v>4440.2332361516037</v>
      </c>
      <c r="J66" s="6">
        <v>4733000</v>
      </c>
      <c r="K66" s="7">
        <f t="shared" si="27"/>
        <v>4599.6112730806608</v>
      </c>
      <c r="L66" s="8">
        <f t="shared" si="28"/>
        <v>164000</v>
      </c>
      <c r="M66" s="9">
        <f t="shared" si="29"/>
        <v>159.37803692905734</v>
      </c>
      <c r="N66" s="10">
        <f t="shared" si="30"/>
        <v>3.5894068724009631E-2</v>
      </c>
      <c r="O66" s="6">
        <v>4939000</v>
      </c>
      <c r="P66" s="7">
        <f t="shared" si="31"/>
        <v>4799.8056365403309</v>
      </c>
      <c r="Q66" s="8">
        <f t="shared" si="32"/>
        <v>370000</v>
      </c>
      <c r="R66" s="9">
        <f t="shared" si="33"/>
        <v>359.57240038872692</v>
      </c>
      <c r="S66" s="10">
        <f t="shared" si="34"/>
        <v>8.0980520901729039E-2</v>
      </c>
      <c r="T66" s="6">
        <v>4939000</v>
      </c>
      <c r="U66" s="7">
        <f t="shared" si="35"/>
        <v>4799.8056365403309</v>
      </c>
      <c r="V66" s="8">
        <f t="shared" si="36"/>
        <v>370000</v>
      </c>
      <c r="W66" s="9">
        <f t="shared" si="37"/>
        <v>359.57240038872692</v>
      </c>
      <c r="X66" s="237">
        <f t="shared" si="38"/>
        <v>8.0980520901729039E-2</v>
      </c>
    </row>
    <row r="67" spans="2:24">
      <c r="B67" s="198">
        <v>4229</v>
      </c>
      <c r="C67" s="201" t="s">
        <v>40</v>
      </c>
      <c r="D67" s="218" t="s">
        <v>69</v>
      </c>
      <c r="E67" s="256" t="s">
        <v>73</v>
      </c>
      <c r="G67" s="236">
        <v>998</v>
      </c>
      <c r="H67" s="6">
        <v>4537000</v>
      </c>
      <c r="I67" s="7">
        <f t="shared" si="26"/>
        <v>4546.0921843687374</v>
      </c>
      <c r="J67" s="6">
        <v>4670000</v>
      </c>
      <c r="K67" s="7">
        <f t="shared" si="27"/>
        <v>4679.3587174348695</v>
      </c>
      <c r="L67" s="8">
        <f t="shared" si="28"/>
        <v>133000</v>
      </c>
      <c r="M67" s="9">
        <f t="shared" si="29"/>
        <v>133.26653306613227</v>
      </c>
      <c r="N67" s="10">
        <f t="shared" si="30"/>
        <v>2.9314525016530747E-2</v>
      </c>
      <c r="O67" s="6">
        <v>4790000</v>
      </c>
      <c r="P67" s="7">
        <f t="shared" si="31"/>
        <v>4799.5991983967933</v>
      </c>
      <c r="Q67" s="8">
        <f t="shared" si="32"/>
        <v>253000</v>
      </c>
      <c r="R67" s="9">
        <f t="shared" si="33"/>
        <v>253.50701402805612</v>
      </c>
      <c r="S67" s="10">
        <f t="shared" si="34"/>
        <v>5.5763720520167509E-2</v>
      </c>
      <c r="T67" s="6">
        <v>4790000</v>
      </c>
      <c r="U67" s="7">
        <f t="shared" si="35"/>
        <v>4799.5991983967933</v>
      </c>
      <c r="V67" s="8">
        <f t="shared" si="36"/>
        <v>253000</v>
      </c>
      <c r="W67" s="9">
        <f t="shared" si="37"/>
        <v>253.50701402805612</v>
      </c>
      <c r="X67" s="237">
        <f t="shared" si="38"/>
        <v>5.5763720520167509E-2</v>
      </c>
    </row>
    <row r="68" spans="2:24">
      <c r="B68" s="198">
        <v>4003</v>
      </c>
      <c r="C68" s="201" t="s">
        <v>150</v>
      </c>
      <c r="D68" s="218" t="s">
        <v>69</v>
      </c>
      <c r="E68" s="256" t="s">
        <v>71</v>
      </c>
      <c r="G68" s="236">
        <v>522</v>
      </c>
      <c r="H68" s="6">
        <v>2689000</v>
      </c>
      <c r="I68" s="7">
        <f t="shared" si="26"/>
        <v>5151.340996168582</v>
      </c>
      <c r="J68" s="6">
        <v>2763000</v>
      </c>
      <c r="K68" s="7">
        <f t="shared" si="27"/>
        <v>5293.1034482758623</v>
      </c>
      <c r="L68" s="8">
        <f t="shared" si="28"/>
        <v>74000</v>
      </c>
      <c r="M68" s="9">
        <f t="shared" si="29"/>
        <v>141.7624521072797</v>
      </c>
      <c r="N68" s="10">
        <f t="shared" si="30"/>
        <v>2.7519523986612122E-2</v>
      </c>
      <c r="O68" s="6">
        <v>2788000</v>
      </c>
      <c r="P68" s="7">
        <f t="shared" si="31"/>
        <v>5340.9961685823755</v>
      </c>
      <c r="Q68" s="8">
        <f t="shared" si="32"/>
        <v>99000</v>
      </c>
      <c r="R68" s="9">
        <f t="shared" si="33"/>
        <v>189.65517241379311</v>
      </c>
      <c r="S68" s="10">
        <f t="shared" si="34"/>
        <v>3.6816660468575679E-2</v>
      </c>
      <c r="T68" s="6">
        <v>2788000</v>
      </c>
      <c r="U68" s="7">
        <f t="shared" si="35"/>
        <v>5340.9961685823755</v>
      </c>
      <c r="V68" s="8">
        <f t="shared" si="36"/>
        <v>99000</v>
      </c>
      <c r="W68" s="9">
        <f t="shared" si="37"/>
        <v>189.65517241379311</v>
      </c>
      <c r="X68" s="237">
        <f t="shared" si="38"/>
        <v>3.6816660468575679E-2</v>
      </c>
    </row>
    <row r="69" spans="2:24">
      <c r="B69" s="198">
        <v>4703</v>
      </c>
      <c r="C69" s="201" t="s">
        <v>64</v>
      </c>
      <c r="D69" s="218" t="s">
        <v>15</v>
      </c>
      <c r="E69" s="256"/>
      <c r="G69" s="236">
        <v>740</v>
      </c>
      <c r="H69" s="6">
        <v>3841000</v>
      </c>
      <c r="I69" s="7">
        <f t="shared" si="26"/>
        <v>5190.5405405405409</v>
      </c>
      <c r="J69" s="6">
        <v>3948000</v>
      </c>
      <c r="K69" s="7">
        <f t="shared" si="27"/>
        <v>5335.135135135135</v>
      </c>
      <c r="L69" s="8">
        <f t="shared" si="28"/>
        <v>107000</v>
      </c>
      <c r="M69" s="9">
        <f t="shared" si="29"/>
        <v>144.59459459459458</v>
      </c>
      <c r="N69" s="10">
        <f t="shared" si="30"/>
        <v>2.7857328820619632E-2</v>
      </c>
      <c r="O69" s="6">
        <v>4045000</v>
      </c>
      <c r="P69" s="7">
        <f t="shared" si="31"/>
        <v>5466.2162162162158</v>
      </c>
      <c r="Q69" s="8">
        <f t="shared" si="32"/>
        <v>204000</v>
      </c>
      <c r="R69" s="9">
        <f t="shared" si="33"/>
        <v>275.67567567567568</v>
      </c>
      <c r="S69" s="10">
        <f t="shared" si="34"/>
        <v>5.3111168966414997E-2</v>
      </c>
      <c r="T69" s="6">
        <v>4045000</v>
      </c>
      <c r="U69" s="7">
        <f t="shared" si="35"/>
        <v>5466.2162162162158</v>
      </c>
      <c r="V69" s="8">
        <f t="shared" si="36"/>
        <v>204000</v>
      </c>
      <c r="W69" s="9">
        <f t="shared" si="37"/>
        <v>275.67567567567568</v>
      </c>
      <c r="X69" s="237">
        <f t="shared" si="38"/>
        <v>5.3111168966414997E-2</v>
      </c>
    </row>
    <row r="70" spans="2:24" ht="5.0999999999999996" customHeight="1">
      <c r="B70" s="198"/>
      <c r="C70" s="201"/>
      <c r="D70" s="218"/>
      <c r="E70" s="224"/>
      <c r="G70" s="236"/>
      <c r="H70" s="6"/>
      <c r="I70" s="7"/>
      <c r="J70" s="6"/>
      <c r="K70" s="7"/>
      <c r="L70" s="8"/>
      <c r="M70" s="9"/>
      <c r="N70" s="10"/>
      <c r="O70" s="6"/>
      <c r="P70" s="7"/>
      <c r="Q70" s="8"/>
      <c r="R70" s="9"/>
      <c r="S70" s="10"/>
      <c r="T70" s="6"/>
      <c r="U70" s="7"/>
      <c r="V70" s="8"/>
      <c r="W70" s="9"/>
      <c r="X70" s="237"/>
    </row>
    <row r="71" spans="2:24" ht="16.5" thickBot="1">
      <c r="B71" s="205"/>
      <c r="C71" s="85" t="s">
        <v>170</v>
      </c>
      <c r="D71" s="227"/>
      <c r="E71" s="226"/>
      <c r="F71" s="221"/>
      <c r="G71" s="238">
        <f>SUM(G61:G69)</f>
        <v>8640</v>
      </c>
      <c r="H71" s="213">
        <f>SUM(H60:H69)</f>
        <v>40326000</v>
      </c>
      <c r="I71" s="214">
        <f>H71/$G71</f>
        <v>4667.3611111111113</v>
      </c>
      <c r="J71" s="213">
        <f>SUM(J60:J69)</f>
        <v>41776000</v>
      </c>
      <c r="K71" s="214">
        <f>J71/$G71</f>
        <v>4835.1851851851852</v>
      </c>
      <c r="L71" s="215">
        <f>SUM(L60:L69)</f>
        <v>1450000</v>
      </c>
      <c r="M71" s="216">
        <f t="shared" si="29"/>
        <v>167.82407407407408</v>
      </c>
      <c r="N71" s="217">
        <f t="shared" si="30"/>
        <v>3.5956950850567874E-2</v>
      </c>
      <c r="O71" s="213">
        <f>SUM(O60:O69)</f>
        <v>43116000</v>
      </c>
      <c r="P71" s="214">
        <f t="shared" si="31"/>
        <v>4990.2777777777774</v>
      </c>
      <c r="Q71" s="215">
        <f>SUM(Q60:Q69)</f>
        <v>2790000</v>
      </c>
      <c r="R71" s="216">
        <f t="shared" si="33"/>
        <v>322.91666666666669</v>
      </c>
      <c r="S71" s="217">
        <f t="shared" si="34"/>
        <v>6.9186133015920248E-2</v>
      </c>
      <c r="T71" s="213">
        <f>SUM(T60:T69)</f>
        <v>43120000</v>
      </c>
      <c r="U71" s="214">
        <f t="shared" si="35"/>
        <v>4990.7407407407409</v>
      </c>
      <c r="V71" s="215">
        <f>SUM(V60:V69)</f>
        <v>2794000</v>
      </c>
      <c r="W71" s="216">
        <f t="shared" si="37"/>
        <v>323.37962962962962</v>
      </c>
      <c r="X71" s="239">
        <f t="shared" si="38"/>
        <v>6.9285324604473536E-2</v>
      </c>
    </row>
    <row r="72" spans="2:24" ht="5.0999999999999996" customHeight="1" thickBot="1">
      <c r="B72" s="208"/>
      <c r="C72" s="92"/>
      <c r="D72" s="218"/>
      <c r="E72" s="224"/>
      <c r="G72" s="236"/>
      <c r="H72" s="6"/>
      <c r="I72" s="7"/>
      <c r="J72" s="6"/>
      <c r="K72" s="7"/>
      <c r="L72" s="6"/>
      <c r="M72" s="242"/>
      <c r="N72" s="248"/>
      <c r="O72" s="6"/>
      <c r="P72" s="7"/>
      <c r="Q72" s="6"/>
      <c r="R72" s="242"/>
      <c r="S72" s="248"/>
      <c r="T72" s="6"/>
      <c r="U72" s="7"/>
      <c r="V72" s="6"/>
      <c r="W72" s="242"/>
      <c r="X72" s="243"/>
    </row>
    <row r="73" spans="2:24" ht="17.25" thickTop="1" thickBot="1">
      <c r="B73" s="209"/>
      <c r="C73" s="96" t="s">
        <v>169</v>
      </c>
      <c r="D73" s="229"/>
      <c r="E73" s="230"/>
      <c r="G73" s="249">
        <f>G59+G71</f>
        <v>22362</v>
      </c>
      <c r="H73" s="250">
        <f>H59+H71</f>
        <v>88319000</v>
      </c>
      <c r="I73" s="251">
        <f>H73/$G73</f>
        <v>3949.5125659601108</v>
      </c>
      <c r="J73" s="250">
        <f>J59+J71</f>
        <v>91993000</v>
      </c>
      <c r="K73" s="251">
        <f>J73/$G73</f>
        <v>4113.809140506216</v>
      </c>
      <c r="L73" s="252">
        <f>L59+L71</f>
        <v>3674000</v>
      </c>
      <c r="M73" s="253">
        <f>L73/$G73</f>
        <v>164.29657454610501</v>
      </c>
      <c r="N73" s="254">
        <f>L73/H73</f>
        <v>4.1599202889525469E-2</v>
      </c>
      <c r="O73" s="250">
        <f>O59+O71</f>
        <v>95184000</v>
      </c>
      <c r="P73" s="251">
        <f t="shared" si="31"/>
        <v>4256.5065736517308</v>
      </c>
      <c r="Q73" s="252">
        <f>Q59+Q71</f>
        <v>6865000</v>
      </c>
      <c r="R73" s="253">
        <f>Q73/$G73</f>
        <v>306.99400769161969</v>
      </c>
      <c r="S73" s="254">
        <f>Q73/H73</f>
        <v>7.7729593858626114E-2</v>
      </c>
      <c r="T73" s="250">
        <f>T59+T71</f>
        <v>95927000</v>
      </c>
      <c r="U73" s="251">
        <f t="shared" si="35"/>
        <v>4289.7325820588494</v>
      </c>
      <c r="V73" s="252">
        <f>V59+V71</f>
        <v>7608000</v>
      </c>
      <c r="W73" s="253">
        <f>V73/$G73</f>
        <v>340.22001609873894</v>
      </c>
      <c r="X73" s="255">
        <f>V73/H73</f>
        <v>8.614227969066679E-2</v>
      </c>
    </row>
    <row r="74" spans="2:24" ht="15.75" thickTop="1"/>
    <row r="75" spans="2:24" ht="15.75">
      <c r="B75" s="91"/>
    </row>
  </sheetData>
  <sheetProtection password="CDFC" sheet="1" objects="1" scenarios="1"/>
  <mergeCells count="15">
    <mergeCell ref="G3:X3"/>
    <mergeCell ref="J5:K5"/>
    <mergeCell ref="T5:U5"/>
    <mergeCell ref="T4:U4"/>
    <mergeCell ref="L4:N4"/>
    <mergeCell ref="L5:N5"/>
    <mergeCell ref="V4:X4"/>
    <mergeCell ref="V5:X5"/>
    <mergeCell ref="H4:I4"/>
    <mergeCell ref="H5:I5"/>
    <mergeCell ref="J4:K4"/>
    <mergeCell ref="O4:P4"/>
    <mergeCell ref="Q4:S4"/>
    <mergeCell ref="O5:P5"/>
    <mergeCell ref="Q5:S5"/>
  </mergeCells>
  <printOptions horizontalCentered="1" gridLines="1"/>
  <pageMargins left="0" right="0" top="0.39370078740157483" bottom="0.39370078740157483" header="0.11811023622047245" footer="0.11811023622047245"/>
  <pageSetup paperSize="8" scale="76" orientation="landscape" r:id="rId1"/>
  <headerFooter>
    <oddHeader>&amp;C&amp;"Arial,Bold"&amp;12TABLE 5 - DfE PUBLISHED FIGURES</oddHeader>
    <oddFooter>&amp;L&amp;"Arial,Regular"&amp;10&amp;Z&amp;F \ &amp;A&amp;C&amp;"-,Bold"&amp;12&amp;P of &amp;N&amp;R&amp;"Arial,Regular"&amp;10&amp;D / &amp;T</oddFooter>
  </headerFooter>
  <ignoredErrors>
    <ignoredError sqref="V60:V69 Q60:Q69 L60:L69 L8:L57 Q8:Q57 V8:V57 I59:J59 K59 P59 U59 U71 P71 J71:K71 I71 I73 K7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5"/>
  <sheetViews>
    <sheetView zoomScaleNormal="100" workbookViewId="0">
      <pane xSplit="1" ySplit="3" topLeftCell="B22" activePane="bottomRight" state="frozen"/>
      <selection pane="topRight" activeCell="B1" sqref="B1"/>
      <selection pane="bottomLeft" activeCell="A4" sqref="A4"/>
      <selection pane="bottomRight" activeCell="I42" sqref="I42"/>
    </sheetView>
  </sheetViews>
  <sheetFormatPr defaultRowHeight="18"/>
  <cols>
    <col min="1" max="1" width="0.85546875" style="1" customWidth="1"/>
    <col min="2" max="2" width="34.42578125" style="12" customWidth="1"/>
    <col min="3" max="3" width="12.85546875" style="12" bestFit="1" customWidth="1"/>
    <col min="4" max="4" width="11.5703125" style="12" bestFit="1" customWidth="1"/>
    <col min="5" max="5" width="34.85546875" style="13" customWidth="1"/>
    <col min="6" max="6" width="22.140625" style="13" bestFit="1" customWidth="1"/>
    <col min="7" max="16384" width="9.140625" style="1"/>
  </cols>
  <sheetData>
    <row r="1" spans="2:8" ht="5.0999999999999996" customHeight="1" thickBot="1"/>
    <row r="2" spans="2:8">
      <c r="B2" s="14" t="s">
        <v>78</v>
      </c>
      <c r="C2" s="489" t="s">
        <v>80</v>
      </c>
      <c r="D2" s="490"/>
      <c r="E2" s="491" t="s">
        <v>82</v>
      </c>
      <c r="F2" s="492"/>
    </row>
    <row r="3" spans="2:8" ht="18.75" thickBot="1">
      <c r="B3" s="15" t="s">
        <v>79</v>
      </c>
      <c r="C3" s="16" t="s">
        <v>81</v>
      </c>
      <c r="D3" s="17" t="s">
        <v>77</v>
      </c>
      <c r="E3" s="18" t="s">
        <v>81</v>
      </c>
      <c r="F3" s="19" t="s">
        <v>77</v>
      </c>
    </row>
    <row r="4" spans="2:8">
      <c r="B4" s="20" t="s">
        <v>83</v>
      </c>
      <c r="C4" s="493">
        <v>0.72899999999999998</v>
      </c>
      <c r="D4" s="496">
        <v>0.74160000000000004</v>
      </c>
      <c r="E4" s="21"/>
      <c r="F4" s="22"/>
      <c r="H4" s="52"/>
    </row>
    <row r="5" spans="2:8">
      <c r="B5" s="23" t="s">
        <v>84</v>
      </c>
      <c r="C5" s="494"/>
      <c r="D5" s="497"/>
      <c r="E5" s="24">
        <v>2747</v>
      </c>
      <c r="F5" s="25">
        <v>2384</v>
      </c>
    </row>
    <row r="6" spans="2:8">
      <c r="B6" s="26" t="s">
        <v>85</v>
      </c>
      <c r="C6" s="494"/>
      <c r="D6" s="497"/>
      <c r="E6" s="27">
        <v>3863</v>
      </c>
      <c r="F6" s="28">
        <v>3626</v>
      </c>
    </row>
    <row r="7" spans="2:8" ht="18.75" thickBot="1">
      <c r="B7" s="29" t="s">
        <v>86</v>
      </c>
      <c r="C7" s="495"/>
      <c r="D7" s="498"/>
      <c r="E7" s="30">
        <v>4386</v>
      </c>
      <c r="F7" s="31">
        <v>4282</v>
      </c>
    </row>
    <row r="8" spans="2:8">
      <c r="B8" s="20" t="s">
        <v>87</v>
      </c>
      <c r="C8" s="493">
        <v>9.0999999999999998E-2</v>
      </c>
      <c r="D8" s="496">
        <v>4.1399999999999999E-2</v>
      </c>
      <c r="E8" s="32"/>
      <c r="F8" s="33"/>
      <c r="H8" s="52"/>
    </row>
    <row r="9" spans="2:8">
      <c r="B9" s="23" t="s">
        <v>88</v>
      </c>
      <c r="C9" s="494"/>
      <c r="D9" s="497"/>
      <c r="E9" s="24">
        <v>440</v>
      </c>
      <c r="F9" s="25">
        <v>2141</v>
      </c>
    </row>
    <row r="10" spans="2:8">
      <c r="B10" s="26" t="s">
        <v>89</v>
      </c>
      <c r="C10" s="494"/>
      <c r="D10" s="497"/>
      <c r="E10" s="27">
        <v>440</v>
      </c>
      <c r="F10" s="28">
        <v>2175</v>
      </c>
    </row>
    <row r="11" spans="2:8">
      <c r="B11" s="23" t="s">
        <v>90</v>
      </c>
      <c r="C11" s="494"/>
      <c r="D11" s="497"/>
      <c r="E11" s="24">
        <v>540</v>
      </c>
      <c r="F11" s="25">
        <v>0</v>
      </c>
    </row>
    <row r="12" spans="2:8">
      <c r="B12" s="26" t="s">
        <v>91</v>
      </c>
      <c r="C12" s="494"/>
      <c r="D12" s="497"/>
      <c r="E12" s="27">
        <v>785</v>
      </c>
      <c r="F12" s="28">
        <v>0</v>
      </c>
    </row>
    <row r="13" spans="2:8">
      <c r="B13" s="23" t="s">
        <v>92</v>
      </c>
      <c r="C13" s="494"/>
      <c r="D13" s="497"/>
      <c r="E13" s="24">
        <v>575</v>
      </c>
      <c r="F13" s="25">
        <v>0</v>
      </c>
    </row>
    <row r="14" spans="2:8">
      <c r="B14" s="26" t="s">
        <v>93</v>
      </c>
      <c r="C14" s="494"/>
      <c r="D14" s="497"/>
      <c r="E14" s="27">
        <v>810</v>
      </c>
      <c r="F14" s="28">
        <v>0</v>
      </c>
    </row>
    <row r="15" spans="2:8">
      <c r="B15" s="23" t="s">
        <v>94</v>
      </c>
      <c r="C15" s="494"/>
      <c r="D15" s="497"/>
      <c r="E15" s="24">
        <v>420</v>
      </c>
      <c r="F15" s="25">
        <v>0</v>
      </c>
    </row>
    <row r="16" spans="2:8">
      <c r="B16" s="26" t="s">
        <v>95</v>
      </c>
      <c r="C16" s="494"/>
      <c r="D16" s="497"/>
      <c r="E16" s="27">
        <v>600</v>
      </c>
      <c r="F16" s="28">
        <v>0</v>
      </c>
    </row>
    <row r="17" spans="2:8">
      <c r="B17" s="23" t="s">
        <v>96</v>
      </c>
      <c r="C17" s="494"/>
      <c r="D17" s="497"/>
      <c r="E17" s="24">
        <v>390</v>
      </c>
      <c r="F17" s="25">
        <v>0</v>
      </c>
    </row>
    <row r="18" spans="2:8">
      <c r="B18" s="26" t="s">
        <v>97</v>
      </c>
      <c r="C18" s="494"/>
      <c r="D18" s="497"/>
      <c r="E18" s="27">
        <v>560</v>
      </c>
      <c r="F18" s="28">
        <v>0</v>
      </c>
    </row>
    <row r="19" spans="2:8">
      <c r="B19" s="23" t="s">
        <v>98</v>
      </c>
      <c r="C19" s="494"/>
      <c r="D19" s="497"/>
      <c r="E19" s="24">
        <v>360</v>
      </c>
      <c r="F19" s="25">
        <v>0</v>
      </c>
    </row>
    <row r="20" spans="2:8">
      <c r="B20" s="26" t="s">
        <v>99</v>
      </c>
      <c r="C20" s="494"/>
      <c r="D20" s="497"/>
      <c r="E20" s="27">
        <v>515</v>
      </c>
      <c r="F20" s="28">
        <v>0</v>
      </c>
    </row>
    <row r="21" spans="2:8">
      <c r="B21" s="23" t="s">
        <v>100</v>
      </c>
      <c r="C21" s="494"/>
      <c r="D21" s="497"/>
      <c r="E21" s="24">
        <v>240</v>
      </c>
      <c r="F21" s="25">
        <v>0</v>
      </c>
    </row>
    <row r="22" spans="2:8">
      <c r="B22" s="26" t="s">
        <v>101</v>
      </c>
      <c r="C22" s="494"/>
      <c r="D22" s="497"/>
      <c r="E22" s="27">
        <v>390</v>
      </c>
      <c r="F22" s="28">
        <v>0</v>
      </c>
    </row>
    <row r="23" spans="2:8">
      <c r="B23" s="23" t="s">
        <v>102</v>
      </c>
      <c r="C23" s="494"/>
      <c r="D23" s="497"/>
      <c r="E23" s="24">
        <v>200</v>
      </c>
      <c r="F23" s="25">
        <v>0</v>
      </c>
    </row>
    <row r="24" spans="2:8" ht="18.75" thickBot="1">
      <c r="B24" s="29" t="s">
        <v>103</v>
      </c>
      <c r="C24" s="495"/>
      <c r="D24" s="498"/>
      <c r="E24" s="30">
        <v>290</v>
      </c>
      <c r="F24" s="31">
        <v>0</v>
      </c>
    </row>
    <row r="25" spans="2:8" ht="5.0999999999999996" hidden="1" customHeight="1" thickBot="1"/>
    <row r="26" spans="2:8" hidden="1">
      <c r="B26" s="14" t="s">
        <v>78</v>
      </c>
      <c r="C26" s="489" t="s">
        <v>80</v>
      </c>
      <c r="D26" s="490"/>
      <c r="E26" s="491" t="s">
        <v>82</v>
      </c>
      <c r="F26" s="492"/>
    </row>
    <row r="27" spans="2:8" ht="18.75" hidden="1" thickBot="1">
      <c r="B27" s="15" t="s">
        <v>79</v>
      </c>
      <c r="C27" s="16" t="s">
        <v>81</v>
      </c>
      <c r="D27" s="17" t="s">
        <v>77</v>
      </c>
      <c r="E27" s="18" t="s">
        <v>81</v>
      </c>
      <c r="F27" s="19" t="s">
        <v>77</v>
      </c>
    </row>
    <row r="28" spans="2:8">
      <c r="B28" s="20" t="s">
        <v>104</v>
      </c>
      <c r="C28" s="34"/>
      <c r="D28" s="35"/>
      <c r="E28" s="21"/>
      <c r="F28" s="22"/>
      <c r="H28" s="52"/>
    </row>
    <row r="29" spans="2:8">
      <c r="B29" s="23" t="s">
        <v>84</v>
      </c>
      <c r="C29" s="499">
        <v>7.3999999999999996E-2</v>
      </c>
      <c r="D29" s="501">
        <v>6.83E-2</v>
      </c>
      <c r="E29" s="24">
        <v>1050</v>
      </c>
      <c r="F29" s="25">
        <v>1403</v>
      </c>
      <c r="H29" s="52"/>
    </row>
    <row r="30" spans="2:8" ht="18.75" thickBot="1">
      <c r="B30" s="26" t="s">
        <v>105</v>
      </c>
      <c r="C30" s="500"/>
      <c r="D30" s="502"/>
      <c r="E30" s="27">
        <v>1550</v>
      </c>
      <c r="F30" s="28">
        <v>1557</v>
      </c>
    </row>
    <row r="31" spans="2:8">
      <c r="B31" s="20" t="s">
        <v>106</v>
      </c>
      <c r="C31" s="34"/>
      <c r="D31" s="35"/>
      <c r="E31" s="21"/>
      <c r="F31" s="22"/>
    </row>
    <row r="32" spans="2:8">
      <c r="B32" s="23" t="s">
        <v>84</v>
      </c>
      <c r="C32" s="499">
        <v>1.2E-2</v>
      </c>
      <c r="D32" s="501">
        <v>8.5000000000000006E-3</v>
      </c>
      <c r="E32" s="24">
        <v>515</v>
      </c>
      <c r="F32" s="25">
        <v>667</v>
      </c>
      <c r="H32" s="52"/>
    </row>
    <row r="33" spans="2:8" ht="18.75" thickBot="1">
      <c r="B33" s="26" t="s">
        <v>105</v>
      </c>
      <c r="C33" s="500"/>
      <c r="D33" s="502"/>
      <c r="E33" s="27">
        <v>1385</v>
      </c>
      <c r="F33" s="28">
        <v>1787</v>
      </c>
    </row>
    <row r="34" spans="2:8">
      <c r="B34" s="20" t="s">
        <v>107</v>
      </c>
      <c r="C34" s="34"/>
      <c r="D34" s="35"/>
      <c r="E34" s="21"/>
      <c r="F34" s="22"/>
    </row>
    <row r="35" spans="2:8">
      <c r="B35" s="23" t="s">
        <v>84</v>
      </c>
      <c r="C35" s="499" t="s">
        <v>108</v>
      </c>
      <c r="D35" s="501">
        <v>4.0000000000000002E-4</v>
      </c>
      <c r="E35" s="24">
        <v>0</v>
      </c>
      <c r="F35" s="25">
        <v>377</v>
      </c>
      <c r="H35" s="52"/>
    </row>
    <row r="36" spans="2:8" ht="18.75" thickBot="1">
      <c r="B36" s="26" t="s">
        <v>105</v>
      </c>
      <c r="C36" s="500"/>
      <c r="D36" s="502"/>
      <c r="E36" s="27">
        <v>0</v>
      </c>
      <c r="F36" s="28">
        <v>377</v>
      </c>
    </row>
    <row r="37" spans="2:8">
      <c r="B37" s="20" t="s">
        <v>109</v>
      </c>
      <c r="C37" s="34"/>
      <c r="D37" s="35"/>
      <c r="E37" s="21"/>
      <c r="F37" s="22"/>
    </row>
    <row r="38" spans="2:8">
      <c r="B38" s="23" t="s">
        <v>84</v>
      </c>
      <c r="C38" s="499">
        <v>1E-3</v>
      </c>
      <c r="D38" s="501">
        <v>5.9999999999999995E-4</v>
      </c>
      <c r="E38" s="36" t="s">
        <v>151</v>
      </c>
      <c r="F38" s="25">
        <v>711</v>
      </c>
      <c r="H38" s="52"/>
    </row>
    <row r="39" spans="2:8" ht="18.75" thickBot="1">
      <c r="B39" s="26" t="s">
        <v>105</v>
      </c>
      <c r="C39" s="500"/>
      <c r="D39" s="502"/>
      <c r="E39" s="37" t="s">
        <v>151</v>
      </c>
      <c r="F39" s="28">
        <v>711</v>
      </c>
    </row>
    <row r="40" spans="2:8">
      <c r="B40" s="20" t="s">
        <v>110</v>
      </c>
      <c r="C40" s="34"/>
      <c r="D40" s="35"/>
      <c r="E40" s="21"/>
      <c r="F40" s="22"/>
    </row>
    <row r="41" spans="2:8">
      <c r="B41" s="23" t="s">
        <v>84</v>
      </c>
      <c r="C41" s="499">
        <v>6.8000000000000005E-2</v>
      </c>
      <c r="D41" s="501">
        <v>0.1018</v>
      </c>
      <c r="E41" s="24">
        <v>110000</v>
      </c>
      <c r="F41" s="25">
        <v>150000</v>
      </c>
      <c r="H41" s="52"/>
    </row>
    <row r="42" spans="2:8" ht="18.75" thickBot="1">
      <c r="B42" s="26" t="s">
        <v>105</v>
      </c>
      <c r="C42" s="500"/>
      <c r="D42" s="502"/>
      <c r="E42" s="27">
        <v>110000</v>
      </c>
      <c r="F42" s="28">
        <v>175000</v>
      </c>
    </row>
    <row r="43" spans="2:8">
      <c r="B43" s="20" t="s">
        <v>111</v>
      </c>
      <c r="C43" s="34"/>
      <c r="D43" s="35"/>
      <c r="E43" s="21"/>
      <c r="F43" s="22"/>
    </row>
    <row r="44" spans="2:8">
      <c r="B44" s="23" t="s">
        <v>84</v>
      </c>
      <c r="C44" s="499">
        <v>1E-3</v>
      </c>
      <c r="D44" s="501" t="s">
        <v>108</v>
      </c>
      <c r="E44" s="24" t="s">
        <v>112</v>
      </c>
      <c r="F44" s="38" t="s">
        <v>114</v>
      </c>
    </row>
    <row r="45" spans="2:8" ht="18.75" thickBot="1">
      <c r="B45" s="29" t="s">
        <v>105</v>
      </c>
      <c r="C45" s="500"/>
      <c r="D45" s="502"/>
      <c r="E45" s="30" t="s">
        <v>113</v>
      </c>
      <c r="F45" s="39" t="s">
        <v>114</v>
      </c>
    </row>
    <row r="46" spans="2:8" s="11" customFormat="1" ht="5.0999999999999996" hidden="1" customHeight="1" thickBot="1">
      <c r="B46" s="40"/>
      <c r="C46" s="41"/>
      <c r="D46" s="41"/>
      <c r="E46" s="42"/>
      <c r="F46" s="42"/>
    </row>
    <row r="47" spans="2:8" s="11" customFormat="1" hidden="1">
      <c r="B47" s="14" t="s">
        <v>78</v>
      </c>
      <c r="C47" s="489" t="s">
        <v>80</v>
      </c>
      <c r="D47" s="490"/>
      <c r="E47" s="491" t="s">
        <v>82</v>
      </c>
      <c r="F47" s="492"/>
    </row>
    <row r="48" spans="2:8" s="11" customFormat="1" ht="18.75" hidden="1" thickBot="1">
      <c r="B48" s="15" t="s">
        <v>79</v>
      </c>
      <c r="C48" s="16" t="s">
        <v>81</v>
      </c>
      <c r="D48" s="17" t="s">
        <v>77</v>
      </c>
      <c r="E48" s="18" t="s">
        <v>81</v>
      </c>
      <c r="F48" s="19" t="s">
        <v>77</v>
      </c>
    </row>
    <row r="49" spans="2:8" s="11" customFormat="1">
      <c r="B49" s="20" t="s">
        <v>115</v>
      </c>
      <c r="C49" s="34"/>
      <c r="D49" s="35"/>
      <c r="E49" s="21"/>
      <c r="F49" s="22"/>
    </row>
    <row r="50" spans="2:8" s="11" customFormat="1">
      <c r="B50" s="515" t="s">
        <v>116</v>
      </c>
      <c r="C50" s="499">
        <v>1.7999999999999999E-2</v>
      </c>
      <c r="D50" s="501">
        <v>2.8500000000000001E-2</v>
      </c>
      <c r="E50" s="43" t="s">
        <v>120</v>
      </c>
      <c r="F50" s="511" t="s">
        <v>119</v>
      </c>
      <c r="H50" s="52"/>
    </row>
    <row r="51" spans="2:8" s="11" customFormat="1">
      <c r="B51" s="515"/>
      <c r="C51" s="499"/>
      <c r="D51" s="501"/>
      <c r="E51" s="43" t="s">
        <v>121</v>
      </c>
      <c r="F51" s="511"/>
    </row>
    <row r="52" spans="2:8" s="11" customFormat="1">
      <c r="B52" s="516" t="s">
        <v>117</v>
      </c>
      <c r="C52" s="499"/>
      <c r="D52" s="501"/>
      <c r="E52" s="44" t="s">
        <v>120</v>
      </c>
      <c r="F52" s="517" t="s">
        <v>119</v>
      </c>
    </row>
    <row r="53" spans="2:8" s="11" customFormat="1">
      <c r="B53" s="516"/>
      <c r="C53" s="499"/>
      <c r="D53" s="501"/>
      <c r="E53" s="44" t="s">
        <v>121</v>
      </c>
      <c r="F53" s="517"/>
    </row>
    <row r="54" spans="2:8" s="11" customFormat="1">
      <c r="B54" s="515" t="s">
        <v>118</v>
      </c>
      <c r="C54" s="499"/>
      <c r="D54" s="501"/>
      <c r="E54" s="43" t="s">
        <v>122</v>
      </c>
      <c r="F54" s="511" t="s">
        <v>123</v>
      </c>
    </row>
    <row r="55" spans="2:8" s="11" customFormat="1" ht="18.75" thickBot="1">
      <c r="B55" s="515"/>
      <c r="C55" s="499"/>
      <c r="D55" s="501"/>
      <c r="E55" s="43" t="s">
        <v>121</v>
      </c>
      <c r="F55" s="511"/>
    </row>
    <row r="56" spans="2:8" s="11" customFormat="1">
      <c r="B56" s="20" t="s">
        <v>124</v>
      </c>
      <c r="C56" s="34"/>
      <c r="D56" s="35"/>
      <c r="E56" s="21"/>
      <c r="F56" s="22"/>
    </row>
    <row r="57" spans="2:8" s="11" customFormat="1" ht="18" customHeight="1">
      <c r="B57" s="46" t="s">
        <v>135</v>
      </c>
      <c r="C57" s="513">
        <v>5.0000000000000001E-3</v>
      </c>
      <c r="D57" s="509">
        <v>8.8999999999999999E-3</v>
      </c>
      <c r="E57" s="44" t="s">
        <v>122</v>
      </c>
      <c r="F57" s="50" t="s">
        <v>138</v>
      </c>
      <c r="H57" s="52"/>
    </row>
    <row r="58" spans="2:8" s="11" customFormat="1" ht="18" customHeight="1">
      <c r="B58" s="46" t="s">
        <v>136</v>
      </c>
      <c r="C58" s="513"/>
      <c r="D58" s="509"/>
      <c r="E58" s="27" t="s">
        <v>121</v>
      </c>
      <c r="F58" s="50" t="s">
        <v>139</v>
      </c>
    </row>
    <row r="59" spans="2:8" s="11" customFormat="1" ht="18.75" thickBot="1">
      <c r="B59" s="47" t="s">
        <v>137</v>
      </c>
      <c r="C59" s="514"/>
      <c r="D59" s="510"/>
      <c r="E59" s="48"/>
      <c r="F59" s="51" t="s">
        <v>140</v>
      </c>
    </row>
    <row r="60" spans="2:8" s="11" customFormat="1">
      <c r="B60" s="20" t="s">
        <v>125</v>
      </c>
      <c r="C60" s="34"/>
      <c r="D60" s="35"/>
      <c r="E60" s="21"/>
      <c r="F60" s="22"/>
    </row>
    <row r="61" spans="2:8" s="11" customFormat="1" ht="18" customHeight="1">
      <c r="B61" s="45" t="s">
        <v>127</v>
      </c>
      <c r="C61" s="49" t="s">
        <v>126</v>
      </c>
      <c r="D61" s="512" t="s">
        <v>108</v>
      </c>
      <c r="E61" s="24" t="s">
        <v>131</v>
      </c>
      <c r="F61" s="511" t="s">
        <v>114</v>
      </c>
    </row>
    <row r="62" spans="2:8" s="11" customFormat="1" ht="18" customHeight="1">
      <c r="B62" s="45" t="s">
        <v>128</v>
      </c>
      <c r="C62" s="49" t="s">
        <v>134</v>
      </c>
      <c r="D62" s="512"/>
      <c r="E62" s="24" t="s">
        <v>132</v>
      </c>
      <c r="F62" s="511"/>
    </row>
    <row r="63" spans="2:8" s="11" customFormat="1">
      <c r="B63" s="45" t="s">
        <v>129</v>
      </c>
      <c r="C63" s="49" t="s">
        <v>130</v>
      </c>
      <c r="D63" s="512"/>
      <c r="E63" s="24" t="s">
        <v>133</v>
      </c>
      <c r="F63" s="511"/>
    </row>
    <row r="64" spans="2:8" s="11" customFormat="1">
      <c r="B64" s="53" t="s">
        <v>152</v>
      </c>
      <c r="C64" s="54"/>
      <c r="D64" s="55"/>
      <c r="E64" s="56"/>
      <c r="F64" s="57"/>
    </row>
    <row r="65" spans="2:8" s="11" customFormat="1">
      <c r="B65" s="503" t="s">
        <v>153</v>
      </c>
      <c r="C65" s="504" t="s">
        <v>114</v>
      </c>
      <c r="D65" s="504" t="s">
        <v>114</v>
      </c>
      <c r="E65" s="43" t="s">
        <v>155</v>
      </c>
      <c r="F65" s="504" t="s">
        <v>114</v>
      </c>
      <c r="H65" s="52"/>
    </row>
    <row r="66" spans="2:8" s="11" customFormat="1">
      <c r="B66" s="503"/>
      <c r="C66" s="504"/>
      <c r="D66" s="504"/>
      <c r="E66" s="43" t="s">
        <v>156</v>
      </c>
      <c r="F66" s="504"/>
    </row>
    <row r="67" spans="2:8" s="11" customFormat="1">
      <c r="B67" s="505" t="s">
        <v>154</v>
      </c>
      <c r="C67" s="507" t="s">
        <v>114</v>
      </c>
      <c r="D67" s="507" t="s">
        <v>114</v>
      </c>
      <c r="E67" s="44" t="s">
        <v>157</v>
      </c>
      <c r="F67" s="507" t="s">
        <v>114</v>
      </c>
    </row>
    <row r="68" spans="2:8" s="11" customFormat="1">
      <c r="B68" s="506"/>
      <c r="C68" s="508"/>
      <c r="D68" s="508"/>
      <c r="E68" s="58" t="s">
        <v>158</v>
      </c>
      <c r="F68" s="508"/>
    </row>
    <row r="69" spans="2:8" s="11" customFormat="1">
      <c r="B69" s="40"/>
      <c r="C69" s="41"/>
      <c r="D69" s="41"/>
      <c r="E69" s="42"/>
      <c r="F69" s="42"/>
    </row>
    <row r="70" spans="2:8" s="11" customFormat="1">
      <c r="B70" s="40"/>
      <c r="C70" s="41"/>
      <c r="D70" s="41"/>
      <c r="E70" s="42"/>
      <c r="F70" s="42"/>
    </row>
    <row r="71" spans="2:8" s="11" customFormat="1">
      <c r="B71" s="40"/>
      <c r="C71" s="41"/>
      <c r="D71" s="41"/>
      <c r="E71" s="42"/>
      <c r="F71" s="42"/>
    </row>
    <row r="72" spans="2:8" s="11" customFormat="1">
      <c r="B72" s="40"/>
      <c r="C72" s="41"/>
      <c r="D72" s="41"/>
      <c r="E72" s="42"/>
      <c r="F72" s="42"/>
    </row>
    <row r="73" spans="2:8" s="11" customFormat="1">
      <c r="B73" s="40"/>
      <c r="C73" s="41"/>
      <c r="D73" s="41"/>
      <c r="E73" s="42"/>
      <c r="F73" s="42"/>
    </row>
    <row r="74" spans="2:8" s="11" customFormat="1">
      <c r="B74" s="40"/>
      <c r="C74" s="41"/>
      <c r="D74" s="41"/>
      <c r="E74" s="42"/>
      <c r="F74" s="42"/>
    </row>
    <row r="75" spans="2:8" s="11" customFormat="1">
      <c r="B75" s="40"/>
      <c r="C75" s="41"/>
      <c r="D75" s="41"/>
      <c r="E75" s="42"/>
      <c r="F75" s="42"/>
    </row>
  </sheetData>
  <mergeCells count="42">
    <mergeCell ref="D57:D59"/>
    <mergeCell ref="F61:F63"/>
    <mergeCell ref="D61:D63"/>
    <mergeCell ref="C57:C59"/>
    <mergeCell ref="B50:B51"/>
    <mergeCell ref="F50:F51"/>
    <mergeCell ref="B52:B53"/>
    <mergeCell ref="F52:F53"/>
    <mergeCell ref="B54:B55"/>
    <mergeCell ref="F54:F55"/>
    <mergeCell ref="B65:B66"/>
    <mergeCell ref="F65:F66"/>
    <mergeCell ref="B67:B68"/>
    <mergeCell ref="F67:F68"/>
    <mergeCell ref="C65:C66"/>
    <mergeCell ref="C67:C68"/>
    <mergeCell ref="D65:D66"/>
    <mergeCell ref="D67:D68"/>
    <mergeCell ref="C44:C45"/>
    <mergeCell ref="D44:D45"/>
    <mergeCell ref="C47:D47"/>
    <mergeCell ref="E47:F47"/>
    <mergeCell ref="C50:C55"/>
    <mergeCell ref="D50:D55"/>
    <mergeCell ref="C35:C36"/>
    <mergeCell ref="D35:D36"/>
    <mergeCell ref="C38:C39"/>
    <mergeCell ref="D38:D39"/>
    <mergeCell ref="C41:C42"/>
    <mergeCell ref="D41:D42"/>
    <mergeCell ref="C26:D26"/>
    <mergeCell ref="E26:F26"/>
    <mergeCell ref="C29:C30"/>
    <mergeCell ref="D29:D30"/>
    <mergeCell ref="C32:C33"/>
    <mergeCell ref="D32:D33"/>
    <mergeCell ref="C2:D2"/>
    <mergeCell ref="E2:F2"/>
    <mergeCell ref="C4:C7"/>
    <mergeCell ref="D4:D7"/>
    <mergeCell ref="C8:C24"/>
    <mergeCell ref="D8:D24"/>
  </mergeCells>
  <printOptions horizontalCentered="1"/>
  <pageMargins left="0" right="0" top="0.39370078740157483" bottom="0.39370078740157483" header="0.11811023622047245" footer="0"/>
  <pageSetup paperSize="9" scale="79" orientation="portrait" r:id="rId1"/>
  <headerFooter>
    <oddHeader>&amp;R&amp;"-,Bold"&amp;12Annex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TABLE 1 - 2018-19 Provisional</vt:lpstr>
      <vt:lpstr>TABLE 2 - 2019-20 Illustrative</vt:lpstr>
      <vt:lpstr>TABLE 3 - Target Illustrative</vt:lpstr>
      <vt:lpstr>TABLE 4 - October 2016 Dataset</vt:lpstr>
      <vt:lpstr>TABLE 5 - DfE Published Figures</vt:lpstr>
      <vt:lpstr>TABLE x - Formula Factors </vt:lpstr>
      <vt:lpstr>'TABLE 1 - 2018-19 Provisional'!Print_Area</vt:lpstr>
      <vt:lpstr>'TABLE 3 - Target Illustrative'!Print_Area</vt:lpstr>
      <vt:lpstr>'TABLE 4 - October 2016 Dataset'!Print_Area</vt:lpstr>
      <vt:lpstr>'TABLE 5 - DfE Published Figures'!Print_Area</vt:lpstr>
      <vt:lpstr>'TABLE x - Formula Factors '!Print_Area</vt:lpstr>
      <vt:lpstr>'TABLE 1 - 2018-19 Provisional'!Print_Titles</vt:lpstr>
      <vt:lpstr>'TABLE 2 - 2019-20 Illustrative'!Print_Titles</vt:lpstr>
      <vt:lpstr>'TABLE 3 - Target Illustrative'!Print_Titles</vt:lpstr>
      <vt:lpstr>'TABLE 4 - October 2016 Dataset'!Print_Titles</vt:lpstr>
    </vt:vector>
  </TitlesOfParts>
  <Company>City of York Council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Hartle</dc:creator>
  <cp:lastModifiedBy>Richard Hartle</cp:lastModifiedBy>
  <cp:lastPrinted>2018-01-22T13:37:42Z</cp:lastPrinted>
  <dcterms:created xsi:type="dcterms:W3CDTF">2017-01-06T19:10:08Z</dcterms:created>
  <dcterms:modified xsi:type="dcterms:W3CDTF">2018-01-25T22:45:46Z</dcterms:modified>
</cp:coreProperties>
</file>